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51" activeTab="0"/>
  </bookViews>
  <sheets>
    <sheet name="Portada" sheetId="1" r:id="rId1"/>
    <sheet name="Pg 1" sheetId="2" r:id="rId2"/>
    <sheet name="Pg 2" sheetId="3" r:id="rId3"/>
    <sheet name="Pg 3" sheetId="4" r:id="rId4"/>
    <sheet name="Pg 4" sheetId="5" r:id="rId5"/>
    <sheet name="Pg 5" sheetId="6" r:id="rId6"/>
    <sheet name="Pg 6" sheetId="7" r:id="rId7"/>
    <sheet name="Pg 7" sheetId="8" state="hidden" r:id="rId8"/>
    <sheet name="Pg 10" sheetId="9" r:id="rId9"/>
    <sheet name="As 3" sheetId="10" state="hidden" r:id="rId10"/>
    <sheet name="As Nac 2" sheetId="11" state="hidden" r:id="rId11"/>
    <sheet name="As Nac 3" sheetId="12" state="hidden" r:id="rId12"/>
    <sheet name="Transacciones (2)" sheetId="13" state="hidden" r:id="rId13"/>
    <sheet name="As C" sheetId="14" state="hidden" r:id="rId14"/>
    <sheet name="prueba" sheetId="15" state="hidden" r:id="rId15"/>
  </sheets>
  <externalReferences>
    <externalReference r:id="rId18"/>
  </externalReferences>
  <definedNames>
    <definedName name="_xlfn.IFERROR" hidden="1">#NAME?</definedName>
    <definedName name="_xlnm.Print_Area" localSheetId="9">'As 3'!$A$1:$A$93</definedName>
    <definedName name="_xlnm.Print_Area" localSheetId="13">'As C'!$A$1:$B$25</definedName>
    <definedName name="_xlnm.Print_Area" localSheetId="10">'As Nac 2'!$A$1:$B$8</definedName>
    <definedName name="_xlnm.Print_Area" localSheetId="11">'As Nac 3'!$A$1:$B$8</definedName>
    <definedName name="_xlnm.Print_Area" localSheetId="1">'Pg 1'!$A$1:$J$64</definedName>
    <definedName name="_xlnm.Print_Area" localSheetId="8">'Pg 10'!$A$1:$M$30</definedName>
    <definedName name="_xlnm.Print_Area" localSheetId="2">'Pg 2'!$A$1:$L$59</definedName>
    <definedName name="_xlnm.Print_Area" localSheetId="3">'Pg 3'!$A$1:$L$54</definedName>
    <definedName name="_xlnm.Print_Area" localSheetId="4">'Pg 4'!$A$1:$L$73</definedName>
    <definedName name="_xlnm.Print_Area" localSheetId="5">'Pg 5'!$A$1:$L$72</definedName>
    <definedName name="_xlnm.Print_Area" localSheetId="6">'Pg 6'!$A$1:$L$76</definedName>
    <definedName name="_xlnm.Print_Area" localSheetId="7">'Pg 7'!$A$1:$M$82</definedName>
    <definedName name="_xlnm.Print_Area" localSheetId="0">'Portada'!$A$1:$J$80</definedName>
    <definedName name="_xlnm.Print_Area" localSheetId="14">'prueba'!$A$1:$B$8</definedName>
    <definedName name="_xlnm.Print_Area" localSheetId="12">'Transacciones (2)'!$A$1:$B$16</definedName>
    <definedName name="Consulta_desde_SLC" localSheetId="13">'As C'!$A$4:$G$8</definedName>
    <definedName name="Consulta_desde_SLC" localSheetId="10">'As Nac 2'!$A$4:$G$8</definedName>
    <definedName name="Consulta_desde_slc" localSheetId="11">'As Nac 3'!$A$4:$E$6</definedName>
    <definedName name="Consulta_desde_SLC" localSheetId="14">'prueba'!$A$4:$G$8</definedName>
    <definedName name="Consulta_desde_SLC_1" localSheetId="9">'As 3'!$A$3:$D$31</definedName>
    <definedName name="Consulta_desde_SLC_1" localSheetId="13">'As C'!$A$4:$F$19</definedName>
    <definedName name="Consulta_desde_SLC_1" localSheetId="10">'As Nac 2'!$A$4:$F$22</definedName>
    <definedName name="Consulta_desde_SLC_1" localSheetId="11">'As Nac 3'!$A$3:$G$9</definedName>
    <definedName name="Consulta_desde_SLC_1" localSheetId="14">'prueba'!$A$4:$F$106</definedName>
    <definedName name="Consulta_desde_SLC_1" localSheetId="12">'Transacciones (2)'!$A$2:$D$6</definedName>
    <definedName name="Consulta_desde_SLC_10" localSheetId="9">'As 3'!$A$5:$H$30</definedName>
    <definedName name="Consulta_desde_SLC_11" localSheetId="9">'As 3'!$A$40:$H$89</definedName>
    <definedName name="Consulta_desde_SLC_12" localSheetId="9">'As 3'!$A$99:$H$153</definedName>
    <definedName name="Consulta_desde_SLC_2" localSheetId="13">'As C'!#REF!</definedName>
    <definedName name="Consulta_desde_SLC_2" localSheetId="10">'As Nac 2'!#REF!</definedName>
    <definedName name="Consulta_desde_SLC_2" localSheetId="11">'As Nac 3'!#REF!</definedName>
    <definedName name="Consulta_desde_SLC_2" localSheetId="14">'prueba'!#REF!</definedName>
    <definedName name="Consulta_desde_SLC_3" localSheetId="13">'As C'!#REF!</definedName>
    <definedName name="Consulta_desde_SLC_3" localSheetId="10">'As Nac 2'!$H$4:$L$7</definedName>
    <definedName name="Consulta_desde_SLC_3" localSheetId="11">'As Nac 3'!#REF!</definedName>
    <definedName name="Consulta_desde_SLC_3" localSheetId="14">'prueba'!$H$4:$L$8</definedName>
    <definedName name="Consulta_desde_SLC_4" localSheetId="13">'As C'!#REF!</definedName>
    <definedName name="Consulta_desde_SLC_4" localSheetId="10">'As Nac 2'!#REF!</definedName>
    <definedName name="Consulta_desde_slc_4" localSheetId="11">'As Nac 3'!#REF!</definedName>
    <definedName name="Consulta_desde_SLC_4" localSheetId="14">'prueba'!#REF!</definedName>
    <definedName name="Consulta_desde_SLC_5" localSheetId="13">'As C'!$H$4:$L$7</definedName>
    <definedName name="Consulta_desde_slc_5" localSheetId="11">'As Nac 3'!#REF!</definedName>
    <definedName name="Consulta_desde_SLC_6" localSheetId="9">'As 3'!#REF!</definedName>
    <definedName name="Consulta_desde_SLC_6" localSheetId="10">'As Nac 2'!$O$4:$U$209</definedName>
    <definedName name="Consulta_desde_slc_6" localSheetId="11">'As Nac 3'!$A$24:$E$26</definedName>
    <definedName name="Consulta_desde_SLC_6" localSheetId="14">'prueba'!$O$4:$U$206</definedName>
    <definedName name="Consulta_desde_SLC_6" localSheetId="12">'Transacciones (2)'!$I$1:$J$50</definedName>
    <definedName name="Consulta_desde_SLC_7" localSheetId="9">'As 3'!#REF!</definedName>
    <definedName name="Consulta_desde_SLC_7" localSheetId="10">'As Nac 2'!$AA$4:$AG$209</definedName>
    <definedName name="Consulta_desde_slc_7" localSheetId="11">'As Nac 3'!$A$13:$E$15</definedName>
    <definedName name="Consulta_desde_SLC_7" localSheetId="14">'prueba'!$AA$4:$AG$206</definedName>
    <definedName name="Consulta_desde_SLC_7" localSheetId="12">'Transacciones (2)'!$I$53:$J$71</definedName>
    <definedName name="Consulta_desde_SLC_8" localSheetId="9">'As 3'!#REF!</definedName>
    <definedName name="Consulta_desde_SLC_8" localSheetId="10">'As Nac 2'!$AT$4:$AY$36</definedName>
    <definedName name="Consulta_desde_SLC_8" localSheetId="14">'prueba'!$AT$4:$AY$36</definedName>
    <definedName name="Consulta_desde_SLC_8" localSheetId="12">'Transacciones (2)'!$I$101:$J$123</definedName>
    <definedName name="Consulta_desde_SLC_9" localSheetId="9">'As 3'!$A$139:$E$155</definedName>
    <definedName name="Consulta_desde_SLC_9" localSheetId="12">'Transacciones (2)'!$I$74:$J$98</definedName>
  </definedNames>
  <calcPr fullCalcOnLoad="1"/>
</workbook>
</file>

<file path=xl/comments5.xml><?xml version="1.0" encoding="utf-8"?>
<comments xmlns="http://schemas.openxmlformats.org/spreadsheetml/2006/main">
  <authors>
    <author>Andres Mogollon</author>
  </authors>
  <commentList>
    <comment ref="I13" authorId="0">
      <text>
        <r>
          <rPr>
            <b/>
            <sz val="9"/>
            <rFont val="Tahoma"/>
            <family val="2"/>
          </rPr>
          <t>Andres Mogollon:</t>
        </r>
        <r>
          <rPr>
            <sz val="9"/>
            <rFont val="Tahoma"/>
            <family val="2"/>
          </rPr>
          <t xml:space="preserve">
no borrar esta celda</t>
        </r>
      </text>
    </comment>
  </commentList>
</comments>
</file>

<file path=xl/sharedStrings.xml><?xml version="1.0" encoding="utf-8"?>
<sst xmlns="http://schemas.openxmlformats.org/spreadsheetml/2006/main" count="1889" uniqueCount="522">
  <si>
    <t>asi_emi_NomEmi</t>
  </si>
  <si>
    <t>FIDIECOMISO CENT HIDROELC MARCEL LANIADO</t>
  </si>
  <si>
    <t>FIDEICOMISO MERCANTIL TIT.AMAZONAS</t>
  </si>
  <si>
    <t>TITULRZ.CARTERA CONSUMO UNIBANCO</t>
  </si>
  <si>
    <t>MUT.PICHINCHA FIDEICOMISO MERCANTIL</t>
  </si>
  <si>
    <t>Suma de aru_opc_ValEfe</t>
  </si>
  <si>
    <t>Rendimiento Promedio Ponderado</t>
  </si>
  <si>
    <t>Plazo Promedio Ponderado (años)</t>
  </si>
  <si>
    <t>AÑO</t>
  </si>
  <si>
    <t>Tipo de Renta:</t>
  </si>
  <si>
    <t>Concepto:</t>
  </si>
  <si>
    <t>TOTAL</t>
  </si>
  <si>
    <t>VE</t>
  </si>
  <si>
    <t>PLZ</t>
  </si>
  <si>
    <t>FIDEICOMISO MERCANTIL BCO TERRITORIAL</t>
  </si>
  <si>
    <t>ACUMULADO 2007</t>
  </si>
  <si>
    <t>ValEfe*Rdmto</t>
  </si>
  <si>
    <t>ValEfe*Plz</t>
  </si>
  <si>
    <t>ValEfe*PrePap</t>
  </si>
  <si>
    <t>Valor Efectivo</t>
  </si>
  <si>
    <t>Plazo Promedio Ponderado</t>
  </si>
  <si>
    <t>Precio Promedio Ponderado</t>
  </si>
  <si>
    <t>asi_sec_NomSec</t>
  </si>
  <si>
    <t>SECTOR FINANCIERO</t>
  </si>
  <si>
    <t>SECTOR SERVICIOS</t>
  </si>
  <si>
    <t>EMISOR</t>
  </si>
  <si>
    <t>SECTOR</t>
  </si>
  <si>
    <t>asi_emi_AbrEmi</t>
  </si>
  <si>
    <t>FMTE</t>
  </si>
  <si>
    <t>FAMZ</t>
  </si>
  <si>
    <t>CMLW</t>
  </si>
  <si>
    <t>TUNB</t>
  </si>
  <si>
    <t>SECTOR TOTAL</t>
  </si>
  <si>
    <t>FMPCH I FIDEICOMISO MERC BCO PICHINCHA</t>
  </si>
  <si>
    <t>FPCH</t>
  </si>
  <si>
    <t>FMTP</t>
  </si>
  <si>
    <t>RDTMO</t>
  </si>
  <si>
    <t>PREPAP</t>
  </si>
  <si>
    <t>VTC</t>
  </si>
  <si>
    <t>Contar de aru_opc_NumOpe</t>
  </si>
  <si>
    <t>FIDEICOMISO MERCANTIL CTH(FIMECTH2)</t>
  </si>
  <si>
    <t>FCTH</t>
  </si>
  <si>
    <t xml:space="preserve">BOLETÍN MENSUAL </t>
  </si>
  <si>
    <t>www.bolsadequito.com</t>
  </si>
  <si>
    <t>VALORES DE CONTENIDO CREDITICIO - VTC</t>
  </si>
  <si>
    <t>Comportamiento Histórico</t>
  </si>
  <si>
    <t>TITULO</t>
  </si>
  <si>
    <t>Hasta</t>
  </si>
  <si>
    <t>Negociaciones por Tipo de Sector</t>
  </si>
  <si>
    <t>Negociaciones por  Emisor</t>
  </si>
  <si>
    <t>OJO CAMBIAR ESTA FECHA QUE CON ESTA SE ACTULIZA TODO</t>
  </si>
  <si>
    <t xml:space="preserve"> </t>
  </si>
  <si>
    <t>Nuevas Emisiones</t>
  </si>
  <si>
    <t>SERIE</t>
  </si>
  <si>
    <t xml:space="preserve">Fecha </t>
  </si>
  <si>
    <t>Lugar</t>
  </si>
  <si>
    <t>Para mayor información por favor comunicarse con:</t>
  </si>
  <si>
    <t>MONTO DE LA EMISIÓN (En miles)</t>
  </si>
  <si>
    <t>CALIFICACIÓN</t>
  </si>
  <si>
    <t>APROBACIÓN DE LA EMISIÓN</t>
  </si>
  <si>
    <t>FIDEICOMISO TITULARIZACION CFC UNO</t>
  </si>
  <si>
    <t>TCFC</t>
  </si>
  <si>
    <t>TITULARIZACIONES</t>
  </si>
  <si>
    <t>FIDEICOMISO MERC TERMINAL TERRESTRE GYQ</t>
  </si>
  <si>
    <t>FMTT</t>
  </si>
  <si>
    <t>FIDEICOMISO MERCANTIL CTH(FIMECTH1)</t>
  </si>
  <si>
    <t>FID MERC TIT AUTOMOTRIZ  GMAC</t>
  </si>
  <si>
    <t>FTCCC FIDEI TITULZ CARTE COMRC COMANDATO</t>
  </si>
  <si>
    <t>FTCC</t>
  </si>
  <si>
    <t>SECTOR COMERCIAL</t>
  </si>
  <si>
    <t>FIDEI MERC IRREV PACIFICARD MASTERCARD</t>
  </si>
  <si>
    <t>FPM</t>
  </si>
  <si>
    <t>FGMC</t>
  </si>
  <si>
    <t>MUT.PICHINCHA FIDEICOMI MERCANTIL IV</t>
  </si>
  <si>
    <t>PLAZO PROMEDIO PONDERADO (días)</t>
  </si>
  <si>
    <t>TITZ FID MER CART HIPOT VILLAMARINA</t>
  </si>
  <si>
    <t>FTVM</t>
  </si>
  <si>
    <t>MES</t>
  </si>
  <si>
    <t>TASA ACTIVA</t>
  </si>
  <si>
    <t>%</t>
  </si>
  <si>
    <t>Promedio</t>
  </si>
  <si>
    <t>TASA PASIVA</t>
  </si>
  <si>
    <t>Tipo de Variación</t>
  </si>
  <si>
    <t>Rendimiento</t>
  </si>
  <si>
    <t>Variación en % (Tasa de Crecimiento)</t>
  </si>
  <si>
    <t xml:space="preserve">  </t>
  </si>
  <si>
    <t>BVQ</t>
  </si>
  <si>
    <t>VALOR EFECTIVO ($)</t>
  </si>
  <si>
    <t>PRECIO PROMEDIO PONDERADO (%)</t>
  </si>
  <si>
    <t>VALOR EFECTIVO   ($)</t>
  </si>
  <si>
    <t>VALOR EFECTIVO              ($)</t>
  </si>
  <si>
    <t>AA+</t>
  </si>
  <si>
    <t>Más Querys</t>
  </si>
  <si>
    <t>Rdmto</t>
  </si>
  <si>
    <t>Plz</t>
  </si>
  <si>
    <t>Precio</t>
  </si>
  <si>
    <t>COMPROBACIÓN</t>
  </si>
  <si>
    <t>FID II TIT DE FLUJOS NESTLE ECUADOR</t>
  </si>
  <si>
    <t>Fija o Variable</t>
  </si>
  <si>
    <t>FID. MERC. II TIT ARTEFACTA</t>
  </si>
  <si>
    <t>FID TIT GRUPO ANHALZER - CERO UNO</t>
  </si>
  <si>
    <t>TASA DE INTERÉS CUPÓN</t>
  </si>
  <si>
    <t>FID MER I TIT DELISODA / PROD GATORADE</t>
  </si>
  <si>
    <t>FID MERC II TIT INDUSTRIAS ALES</t>
  </si>
  <si>
    <t>FIDEI MERCAN  FLUJOS NESTLE ECUADOR</t>
  </si>
  <si>
    <t>TASA FIJA 8.50%</t>
  </si>
  <si>
    <t>PLAZO</t>
  </si>
  <si>
    <t>CALIFICADORA</t>
  </si>
  <si>
    <t>PACIFIC CREDIT RATING S.A.</t>
  </si>
  <si>
    <t>Valor Efectivo Total Negociado (USD)</t>
  </si>
  <si>
    <t>FID MER 8VA TIT CART COM COMANDATO</t>
  </si>
  <si>
    <t>FID MER II TIT LA FABRIL</t>
  </si>
  <si>
    <t>FID SEGUNDA TIT FLUJOS PRONACA</t>
  </si>
  <si>
    <t>1800 - D</t>
  </si>
  <si>
    <t>SEGUNDA TIT DE FLUJOS - PORTAFOLIO CFN</t>
  </si>
  <si>
    <t>FID DE TIT DE FLUJOS - TECFOOD</t>
  </si>
  <si>
    <t>TFO</t>
  </si>
  <si>
    <t>FID MER I TIT FLUJOS - TECOPESCA</t>
  </si>
  <si>
    <t>FID 2° TIT CART AUTOMOTRIZ - CFC</t>
  </si>
  <si>
    <t>FID MER I TIT FLUJOS EDU-CPU/USFQ</t>
  </si>
  <si>
    <t>PED</t>
  </si>
  <si>
    <t>FIDEICOMISO MERCANTIL FMS - DOS</t>
  </si>
  <si>
    <t>FID MER TIT AZUCARERA VALDEZ</t>
  </si>
  <si>
    <t>FID MER VII TIT CA AU AMAZONAS</t>
  </si>
  <si>
    <t>FID MERC TIT DE FLUJOS EDESA</t>
  </si>
  <si>
    <t>FID TIT DE FLUJOS JAHER</t>
  </si>
  <si>
    <t>FIDEICOMISO MERCANTIL "FIDEICOMISO TITULARIZACIÓN DE FLUJOS JAHER" (**)</t>
  </si>
  <si>
    <t>EMISIÓN DE TITULARIZACIONES - 2012</t>
  </si>
  <si>
    <t>A1, A2, A3</t>
  </si>
  <si>
    <t xml:space="preserve">NOMBRE </t>
  </si>
  <si>
    <t>2 TIT CARTERA COMERCIAL IIASA</t>
  </si>
  <si>
    <t>FID MER 9 TIT CART COM COMANDATO</t>
  </si>
  <si>
    <t>FID MER I TIT CART AUT UNIFINSA</t>
  </si>
  <si>
    <t>FID MER TIT EBC</t>
  </si>
  <si>
    <t>FID MERC II TIT FLUJOS DINERS</t>
  </si>
  <si>
    <t>FID TIT CUOTAFACIL UNIBANCO - CERO DOS</t>
  </si>
  <si>
    <t>SECTOR PUBLICO</t>
  </si>
  <si>
    <t>FIMUPI 7 FID MERC M. PICHINCHA</t>
  </si>
  <si>
    <t>FIDEICOMISO MERCANTIL DE TERCERA TITULARIZACIÓN DE FLUJOS FUTUROS ARTEFACTA  (***)</t>
  </si>
  <si>
    <t>A</t>
  </si>
  <si>
    <t>B</t>
  </si>
  <si>
    <t>C</t>
  </si>
  <si>
    <t>1080 - D</t>
  </si>
  <si>
    <t>1440 - D</t>
  </si>
  <si>
    <t>TASA FIJA 8.25%</t>
  </si>
  <si>
    <t>TASA FIJA 7.50%</t>
  </si>
  <si>
    <t>TASA PASIVA REFERENCIAL DEL BCE + 3.00%</t>
  </si>
  <si>
    <t>TASA FIJA 8.00%</t>
  </si>
  <si>
    <t>TASA FIJA 7.25%</t>
  </si>
  <si>
    <t>AAA</t>
  </si>
  <si>
    <t>HUMPHREYS S.A.</t>
  </si>
  <si>
    <t>BVG</t>
  </si>
  <si>
    <t>FIDEICOMISO MERCANTIL IRREVOCABLE "NOVENA TITULARIZACION CARTERA COMERCIAL - COMANDATO"  (**)</t>
  </si>
  <si>
    <t>FIDEICOMISO MERCANTIL IRREVOCABLE "PRIMERA TITULARIZACIÓN DE FLUJOS FUTUROS - ADFRANEC" (**)</t>
  </si>
  <si>
    <t>3 TIT CART COMERCIAL IIASA</t>
  </si>
  <si>
    <t>FID I TIT INT FOOD SERVICES CORP</t>
  </si>
  <si>
    <t>FID MER I TIT FLUJOS LOCALES-PACIFICARD</t>
  </si>
  <si>
    <t>FIMUPI 8 FID MERC M. PICHINCHA</t>
  </si>
  <si>
    <t>PRIMERA TIT DE FLUJOS - BIRA</t>
  </si>
  <si>
    <t>FID 1 TIT BANCO PROMERICA CART HIP VIVIE</t>
  </si>
  <si>
    <t>660 - D</t>
  </si>
  <si>
    <t>690 - D</t>
  </si>
  <si>
    <t>720 - D</t>
  </si>
  <si>
    <t>TASA FIJA 6.50%</t>
  </si>
  <si>
    <t>FIDEICOMISO MERCANTIL IRREVOCABLE "TERCERA TITULARIZACIÓN CARTERA COMERCIAL-IIASA PRIMER TRAMO</t>
  </si>
  <si>
    <t>FIDEICOMISO MERCANTIL IRREVOCABLE "PRIMERA TITULARIZACIÓN DE FLUJOS . BIRA" (**)</t>
  </si>
  <si>
    <t>AAA-</t>
  </si>
  <si>
    <t>FIDEICOMISO MERCANTIL MUTUALISTA PICHINCHA 8- FIMUPI 8</t>
  </si>
  <si>
    <t>ALPHA</t>
  </si>
  <si>
    <t>A1</t>
  </si>
  <si>
    <t>A2</t>
  </si>
  <si>
    <t>A3</t>
  </si>
  <si>
    <t>A4</t>
  </si>
  <si>
    <t>A5</t>
  </si>
  <si>
    <t>1950 - D</t>
  </si>
  <si>
    <t>3090 - D</t>
  </si>
  <si>
    <t>3600 - D</t>
  </si>
  <si>
    <t>4860 - D</t>
  </si>
  <si>
    <t>4890 - D</t>
  </si>
  <si>
    <t>TASA PROMEDIO</t>
  </si>
  <si>
    <t>A-</t>
  </si>
  <si>
    <t xml:space="preserve">PACIFIC CREDIT RATINGS S.A. </t>
  </si>
  <si>
    <t>FIDEICOMISO MERCANTIL IRREVOCABLE "CUARTA TITULARIZACIÓN DE FLUJOS - TARJETAS DE CRÉDITO DE PRATI" (**)</t>
  </si>
  <si>
    <t>FID MER I TIT AZENDE</t>
  </si>
  <si>
    <t>aru_opc_FchOpe</t>
  </si>
  <si>
    <t>aru_opc_PrePap</t>
  </si>
  <si>
    <t>aru_opc_Rdmto</t>
  </si>
  <si>
    <t>aru_opc_TirTea</t>
  </si>
  <si>
    <t>aru_opc_ValNom</t>
  </si>
  <si>
    <t>PROMEDIO</t>
  </si>
  <si>
    <t>aru_opc_ValEfe</t>
  </si>
  <si>
    <t>FID MERC 1 TIT AGRIPAC</t>
  </si>
  <si>
    <t>FID MERC VI TIT CA AU AMAZONAS</t>
  </si>
  <si>
    <t>Valor Efectivo * Precio</t>
  </si>
  <si>
    <t>Plazo * Valor Efectivo</t>
  </si>
  <si>
    <t>Rend. * Valor Efe</t>
  </si>
  <si>
    <t>FID MERC TIT AUTOMOTRIZ  GMAC II</t>
  </si>
  <si>
    <t>FID MERC SOLIDARIO UNO</t>
  </si>
  <si>
    <t>TIULARIZ FLUJOS FUTUROS BURGER KING</t>
  </si>
  <si>
    <t>FID MER 3TIT FLUJOS FUT ARTEFACTA</t>
  </si>
  <si>
    <t>TAR</t>
  </si>
  <si>
    <t>TEA Promedio Ponderada (%)</t>
  </si>
  <si>
    <t>OJO ESTA ES LA FECHA QUE HAY QUE ACTUALIZAR</t>
  </si>
  <si>
    <t>TITULOS</t>
  </si>
  <si>
    <t>Plazo</t>
  </si>
  <si>
    <t>TEA</t>
  </si>
  <si>
    <t>FIDEICOMISO MERCANTIL BANCO INTERNACIONAL 2 INTER2</t>
  </si>
  <si>
    <t>2776 - D</t>
  </si>
  <si>
    <t>3647 - D</t>
  </si>
  <si>
    <t>4097 - D</t>
  </si>
  <si>
    <t>4547 - D</t>
  </si>
  <si>
    <t>4577 - D</t>
  </si>
  <si>
    <t>N/A</t>
  </si>
  <si>
    <t>FIDEICOMISO MERCANTIL IRREVOCABLE "DECIMA TITULARIZACIÓN CARTERA COMERCIAL COMANDATO" (**)</t>
  </si>
  <si>
    <t>FIDEICOMISO MERCANTIL CTR-BID1 VACTH-6</t>
  </si>
  <si>
    <t>2070 - D</t>
  </si>
  <si>
    <t>2700 - D</t>
  </si>
  <si>
    <t>3120 - D</t>
  </si>
  <si>
    <t>3150 - D</t>
  </si>
  <si>
    <t>AA</t>
  </si>
  <si>
    <t>A+</t>
  </si>
  <si>
    <t>B+</t>
  </si>
  <si>
    <t>FIDEICOMISO MERCANTIL DE TITULARIZACIÓN DECAMERON ECUADOR S.A.(***)</t>
  </si>
  <si>
    <t>2520 - D</t>
  </si>
  <si>
    <t>FIDEICOMISO MERCANTIL IRREVOCABLE "PRIMERA TITULARIZACIÓN DE FLUJOS FYBECA" (**)</t>
  </si>
  <si>
    <t>BANKWATCH S.A.</t>
  </si>
  <si>
    <t>FID MER 11MA TIT CART COM COMANDATO</t>
  </si>
  <si>
    <t>TCM</t>
  </si>
  <si>
    <t>FIDEICOMISO MERCANTIL UNDECIMA TITULARIZACION COMANDATO (**)</t>
  </si>
  <si>
    <t>1,2,3,4,5</t>
  </si>
  <si>
    <t>6,7,8,9,10</t>
  </si>
  <si>
    <t>1080-D</t>
  </si>
  <si>
    <t>2160 - D</t>
  </si>
  <si>
    <t xml:space="preserve">8,25 FIJA ANUAL </t>
  </si>
  <si>
    <t xml:space="preserve">7.5% TASA FIJA </t>
  </si>
  <si>
    <t>7,25% TASA FIJA</t>
  </si>
  <si>
    <t>8% TASA FIJA</t>
  </si>
  <si>
    <t>FIDEICOMISO MERCANTIL "TERCERA TITULARIZACION DE FLUJOS FUTUROS DE INT FOOD SERVICES CORP."(**)</t>
  </si>
  <si>
    <t>CLASS INTERNATIONAL RATING CALIFICADORA DE RIESGOS S.A.</t>
  </si>
  <si>
    <t>FIDEICOMISO MERCANTIL IRREVOCABLE "TERCERA TITULARIZACIÓN CARTERA COMERCIAL IIASA" (**)</t>
  </si>
  <si>
    <t>660-D</t>
  </si>
  <si>
    <t>690-D</t>
  </si>
  <si>
    <t>720-D</t>
  </si>
  <si>
    <t>FIDEICOMISO MERCANTIL IRREVOCABLE "TERCERA TITULARIZACIÓN DE FLUJOS - AGRIPAC"  (**)</t>
  </si>
  <si>
    <t>1440-D</t>
  </si>
  <si>
    <t>1800-D</t>
  </si>
  <si>
    <t>6.50% TASA FIJA</t>
  </si>
  <si>
    <t>8.00% TASA FIJA</t>
  </si>
  <si>
    <t>8.25% TASA FIJA</t>
  </si>
  <si>
    <t>1260-D</t>
  </si>
  <si>
    <t>1530-D</t>
  </si>
  <si>
    <t>TASA FIJA 8,00%</t>
  </si>
  <si>
    <t>TASA FIJA 8,25%</t>
  </si>
  <si>
    <t>TASA FIJA 10,00%</t>
  </si>
  <si>
    <t>CLASS INTERNATIONAL RATING</t>
  </si>
  <si>
    <t>FIDEICOMISO MERCANTIL FIDEICOMISO SEGUNDA TITULARIZACIÓN DE CARTERA DE MICROCRÉDITO  FUNDACIÓN ESPOIR (**)</t>
  </si>
  <si>
    <t>FID MER II TIT FUNDACION ESPOIR</t>
  </si>
  <si>
    <t>SFE</t>
  </si>
  <si>
    <t>FIDEICOMISO DE TITULARIZACION DE CARTERA DE VIVIENDA 29 DE OCTUBRE (***)</t>
  </si>
  <si>
    <t>2160-D</t>
  </si>
  <si>
    <t>FIDEICOMISO MERCANTIL MUTUALISTA PICHINCHA 9 - FIMUPI 9</t>
  </si>
  <si>
    <t>980-D</t>
  </si>
  <si>
    <t>2270-D</t>
  </si>
  <si>
    <t>3380-D</t>
  </si>
  <si>
    <t>3860-D</t>
  </si>
  <si>
    <t>5060-D</t>
  </si>
  <si>
    <t>5090-D</t>
  </si>
  <si>
    <t>PACIFIC CREDIT RATING</t>
  </si>
  <si>
    <t>FID I TIT CARTERA VIVIENDA 29 DE OCTUBRE</t>
  </si>
  <si>
    <t>TVO</t>
  </si>
  <si>
    <t>ACUMULADO 2013</t>
  </si>
  <si>
    <t>TNS</t>
  </si>
  <si>
    <t>FID MER 10MA TIT CART COM COMANDATO</t>
  </si>
  <si>
    <t>DCC</t>
  </si>
  <si>
    <t>FMD</t>
  </si>
  <si>
    <t>FID MER I TIT FUNDACION ESPOIR</t>
  </si>
  <si>
    <t>PES</t>
  </si>
  <si>
    <t>FID MERC 3 TIT DE FLUJOS AGRIPAC</t>
  </si>
  <si>
    <t>TAP</t>
  </si>
  <si>
    <t>FIMUPI 9 FID MERC M. PICHINCHA</t>
  </si>
  <si>
    <t>FMN</t>
  </si>
  <si>
    <t>TJH</t>
  </si>
  <si>
    <t>SAU</t>
  </si>
  <si>
    <t>SAA</t>
  </si>
  <si>
    <t>I TIT DE FLUJOS NOVACERO</t>
  </si>
  <si>
    <t>PTN</t>
  </si>
  <si>
    <t>FID MER TERCERA TIT DE PRATI</t>
  </si>
  <si>
    <t>FID I TIT CARTERA COM PYMES PROCREDIT</t>
  </si>
  <si>
    <t>FID I TIT FLUJOS FYBECA</t>
  </si>
  <si>
    <t>TFF</t>
  </si>
  <si>
    <t>FID MER CUARTA TIT DE PRATI</t>
  </si>
  <si>
    <t>CTD</t>
  </si>
  <si>
    <t>FID MER I TIT CONTECON GUAYAQUIL</t>
  </si>
  <si>
    <t>PCG</t>
  </si>
  <si>
    <t>TDS</t>
  </si>
  <si>
    <t>FID MER I TIT QUIFATEX S.A.</t>
  </si>
  <si>
    <t>SFB</t>
  </si>
  <si>
    <t>TTD</t>
  </si>
  <si>
    <t>EBC</t>
  </si>
  <si>
    <t>SMD</t>
  </si>
  <si>
    <t>FID MERC IRREV II TIT FLUJOS FADESA</t>
  </si>
  <si>
    <t>TGA</t>
  </si>
  <si>
    <t>FID MER I TIT EXPALSA</t>
  </si>
  <si>
    <t>FID MER TIT TELCONET</t>
  </si>
  <si>
    <t>FID MERC II TIT DE FLUJOS AGRIPAC</t>
  </si>
  <si>
    <t>FID MER TIT T DE CREDITO DE PRATI</t>
  </si>
  <si>
    <t>FID MERC TIT LA FABRIL</t>
  </si>
  <si>
    <t>FID TIT HOTEL COLON GUAYAQUIL-CERO UNO</t>
  </si>
  <si>
    <t>TII1</t>
  </si>
  <si>
    <t>FID MER 13RA TIT CART COM COMANDATO</t>
  </si>
  <si>
    <t>OCM</t>
  </si>
  <si>
    <t>NCC</t>
  </si>
  <si>
    <t>FID MER I TIT AUTOMOTORES Y ANEXOS</t>
  </si>
  <si>
    <t>TAA</t>
  </si>
  <si>
    <t>PTE</t>
  </si>
  <si>
    <t>SAG</t>
  </si>
  <si>
    <t>SFA</t>
  </si>
  <si>
    <t>FID III TIT INT FOOD SERVICES CORP</t>
  </si>
  <si>
    <t>FID MERC 1 TIT VECONSA</t>
  </si>
  <si>
    <t>FID MERC I TITULAR FLUJOS FUT ARTEFACTA</t>
  </si>
  <si>
    <t>FID TIT CUOTAFACIL UNIBANCO - CERO UNO</t>
  </si>
  <si>
    <t>FIDEICOMISO MER TIT COMANDATO 7</t>
  </si>
  <si>
    <t>FID II TIT INT FOOD SERVICES CORP</t>
  </si>
  <si>
    <t>SIF</t>
  </si>
  <si>
    <t>TAZ</t>
  </si>
  <si>
    <t>FID MER I TIT CASA TOSI</t>
  </si>
  <si>
    <t>TCT</t>
  </si>
  <si>
    <t>PTC</t>
  </si>
  <si>
    <t>TPA</t>
  </si>
  <si>
    <t>PQF</t>
  </si>
  <si>
    <t>TAV</t>
  </si>
  <si>
    <t>TDP</t>
  </si>
  <si>
    <t>FTE</t>
  </si>
  <si>
    <t>SFD</t>
  </si>
  <si>
    <t>FID MERC TIT FLUJOS DINERS</t>
  </si>
  <si>
    <t>FFD</t>
  </si>
  <si>
    <t>LFA</t>
  </si>
  <si>
    <t>SPN</t>
  </si>
  <si>
    <t>TUC</t>
  </si>
  <si>
    <t>SAR</t>
  </si>
  <si>
    <t>FIDEI MERC MUNICIPALIDAD GUAYAQUIL</t>
  </si>
  <si>
    <t>TMG</t>
  </si>
  <si>
    <t>TNL</t>
  </si>
  <si>
    <t>CCC</t>
  </si>
  <si>
    <t>VCC I TIT FLUJOS DER COBRO INTERAGUA</t>
  </si>
  <si>
    <t>PTI</t>
  </si>
  <si>
    <t>2 TIT CART COMERCIAL IIASA TRAMO III</t>
  </si>
  <si>
    <t>FIA3</t>
  </si>
  <si>
    <t>STI</t>
  </si>
  <si>
    <t>SFC</t>
  </si>
  <si>
    <t>PIF</t>
  </si>
  <si>
    <t>TKF</t>
  </si>
  <si>
    <t>FID MER 5TA TIT CART COM COMANDATO</t>
  </si>
  <si>
    <t>QCC</t>
  </si>
  <si>
    <t>FID MER 6TA TIT CART COM COMANDATO</t>
  </si>
  <si>
    <t>SCC</t>
  </si>
  <si>
    <t>FID MER B. PICHINCHA FIMEPCH 2</t>
  </si>
  <si>
    <t>FIM</t>
  </si>
  <si>
    <t>FID MER BANCO INTERNACIONAL 2 INTER 2</t>
  </si>
  <si>
    <t>FBI</t>
  </si>
  <si>
    <t>FID MER I TIT ADFRANEC</t>
  </si>
  <si>
    <t>PAD</t>
  </si>
  <si>
    <t>PTU</t>
  </si>
  <si>
    <t>FID MER I TIT ENERGY&amp;PALMA</t>
  </si>
  <si>
    <t>TEP</t>
  </si>
  <si>
    <t>FID MER I TIT LATIENVASES</t>
  </si>
  <si>
    <t>TFL</t>
  </si>
  <si>
    <t>FID MER I TIT MAREAUTO S.A.</t>
  </si>
  <si>
    <t>TFM</t>
  </si>
  <si>
    <t>FID MER TIT CADENA PRODUCTIVA INTEGRADA</t>
  </si>
  <si>
    <t>TPI</t>
  </si>
  <si>
    <t>FID MER TIT DECAMERON ECUADOR</t>
  </si>
  <si>
    <t>FDC</t>
  </si>
  <si>
    <t>FID MER TIT SENEFELDER I</t>
  </si>
  <si>
    <t>TFS</t>
  </si>
  <si>
    <t>FID MER TIT SINDICADA - EQUITATIS IBC</t>
  </si>
  <si>
    <t>TSE</t>
  </si>
  <si>
    <t>TGP</t>
  </si>
  <si>
    <t>FID MERC 1 TIT INTEROC</t>
  </si>
  <si>
    <t>TFI</t>
  </si>
  <si>
    <t>TFV</t>
  </si>
  <si>
    <t>FID MERC BANCO BOLIVARIANO 1</t>
  </si>
  <si>
    <t>FBB</t>
  </si>
  <si>
    <t>TAT</t>
  </si>
  <si>
    <t>FID MERC IV TITULARI  CA  AU  AMAZONAS</t>
  </si>
  <si>
    <t>ACT1</t>
  </si>
  <si>
    <t>SGM</t>
  </si>
  <si>
    <t>TED</t>
  </si>
  <si>
    <t>TUD</t>
  </si>
  <si>
    <t>FHC</t>
  </si>
  <si>
    <t>FIDEICM MERC IRREV I TIT FLUJOS FADESA</t>
  </si>
  <si>
    <t>TFD</t>
  </si>
  <si>
    <t>FIDEICOMISO MERCANTIL CTH(FIMECTH IV)</t>
  </si>
  <si>
    <t>CHC</t>
  </si>
  <si>
    <t>FIDEICOMISO MERCANTIL CTH(FIMECTH3)</t>
  </si>
  <si>
    <t>FIC</t>
  </si>
  <si>
    <t>FIDEICOMISO MERCANTIL CTH-BID 1</t>
  </si>
  <si>
    <t>BDC</t>
  </si>
  <si>
    <t>TML</t>
  </si>
  <si>
    <t>FMU</t>
  </si>
  <si>
    <t>FMM</t>
  </si>
  <si>
    <t>FPH</t>
  </si>
  <si>
    <t>FTCCC FIDEIC MERC 3RA TIT COMANDATO I</t>
  </si>
  <si>
    <t>TTC1</t>
  </si>
  <si>
    <t>FTCCC FIDEIC MERC 4TA TIT COMANDATO I</t>
  </si>
  <si>
    <t>CCT</t>
  </si>
  <si>
    <t>II TIT CART COM AMZ - TRAMO 1</t>
  </si>
  <si>
    <t>TAMZ</t>
  </si>
  <si>
    <t>BIR</t>
  </si>
  <si>
    <t>SCF</t>
  </si>
  <si>
    <t>FID MER II TIT FLUJOS  TECOPESCA</t>
  </si>
  <si>
    <t>FIMPROD 2 FIDEI MERCANTIL  PRD 2</t>
  </si>
  <si>
    <t>FIMUPI 6 FID MERC M. PICHINCHA</t>
  </si>
  <si>
    <t>FIMUPI V FIDEICO  MERCA M  PICHINCHA</t>
  </si>
  <si>
    <t>Es un mecanismo de financiamiento que permite transformar activos o bienes, actuales o futuros, en valores negociables en el Mercado de Valores, para obtener liquidez en condiciones competitivas de mercado, con la consecuente reducción de los costos financieros</t>
  </si>
  <si>
    <t>1 TIT CARTERA COMERCIAL IIASA</t>
  </si>
  <si>
    <t>NA</t>
  </si>
  <si>
    <t>3 TIT CARTERA COMERCIAL IIASA TRAMO II</t>
  </si>
  <si>
    <t>TII2</t>
  </si>
  <si>
    <t>THP</t>
  </si>
  <si>
    <t>FID MERC 1 TIT ECUAVEGETAL</t>
  </si>
  <si>
    <t>TEC</t>
  </si>
  <si>
    <t>PST</t>
  </si>
  <si>
    <t>FPS</t>
  </si>
  <si>
    <t>MHC</t>
  </si>
  <si>
    <t>TMC</t>
  </si>
  <si>
    <t>*Datos provisionales</t>
  </si>
  <si>
    <t>FID SEGUNDA TIT DE FLUJOS DELCORP</t>
  </si>
  <si>
    <t>FID TIT I EMI DE FLUJOS FUTUROS ICESA</t>
  </si>
  <si>
    <t>FID DE TITULARIZACION DE FLUJOS ESEICO</t>
  </si>
  <si>
    <t>FID MER 14TA TIT CART COM COMANDATO</t>
  </si>
  <si>
    <t>DEC</t>
  </si>
  <si>
    <t>FID MERCANTIL DE TIT SECOHI</t>
  </si>
  <si>
    <t>FID PRIMERA TIT FLUJOS NOPERTI</t>
  </si>
  <si>
    <t>FID DE TIT DE FLUJOS URBANO</t>
  </si>
  <si>
    <t>FID MER TIT ECUAFARMACIAS I</t>
  </si>
  <si>
    <t>FID MER SEGUNDA TIT DE PRATI</t>
  </si>
  <si>
    <t>PNP</t>
  </si>
  <si>
    <t>VCC I TIT FLUJOS FUTUROS COFINA</t>
  </si>
  <si>
    <t>FID TIT DE CARTERA MARCIMEX</t>
  </si>
  <si>
    <t>TMX</t>
  </si>
  <si>
    <t>FID TIT DE FLUJOS EL ORDENO</t>
  </si>
  <si>
    <t>FID MER 12MA TIT CART COM COMANDATO</t>
  </si>
  <si>
    <t>FID PRI TIT ENVASES DEL LITORAL</t>
  </si>
  <si>
    <t>4 TIT CARTERA COMERCIAL IIASA TRAMO I</t>
  </si>
  <si>
    <t>CCI</t>
  </si>
  <si>
    <t>FID I TITULARIZACION DE FLUJOS SANA SANA</t>
  </si>
  <si>
    <t>FSS</t>
  </si>
  <si>
    <t>TEN</t>
  </si>
  <si>
    <t>TSP</t>
  </si>
  <si>
    <t>MENSUAL 2014</t>
  </si>
  <si>
    <t>VTC NEGOCIADAS EN EL MERCADO BURSÁTIL NACIONAL</t>
  </si>
  <si>
    <t>BOLETÍN MENSUAL VALORES DE CONTENIDO CREDITICIO</t>
  </si>
  <si>
    <t>VTC A NIVEL NACIONAL</t>
  </si>
  <si>
    <t>VALOR EFECTIVO  ($)</t>
  </si>
  <si>
    <t>Registro Hístorico</t>
  </si>
  <si>
    <t>Departamento Estadístico Financiero</t>
  </si>
  <si>
    <t>VTC - Número de Transacciones</t>
  </si>
  <si>
    <t>VTC - Relación Rendimiento Con Tasas de Interés</t>
  </si>
  <si>
    <t>VTC - Nuevas Emisiones</t>
  </si>
  <si>
    <t>@Copyright</t>
  </si>
  <si>
    <t xml:space="preserve">Derechos de autor de propiedad exclusiva de la BOLSA DE VALORES DE QUITO, de conformidad con lo dispuesto por el Código Orgánico de la Economía Social del Conocimiento y la Innovación. </t>
  </si>
  <si>
    <t>FID TIT CART CON JARDIN AZUAYO1</t>
  </si>
  <si>
    <t>TJA</t>
  </si>
  <si>
    <t>CLASE</t>
  </si>
  <si>
    <t>sebastianjacome@bolsadequito.com</t>
  </si>
  <si>
    <t>Sebastián Jácome</t>
  </si>
  <si>
    <t>SEGUNDA TIT CART MICROCREDITO INSOTEC</t>
  </si>
  <si>
    <t>TSC</t>
  </si>
  <si>
    <t>FID MERC PRIM TIT SIND RENTAS</t>
  </si>
  <si>
    <t>TRN</t>
  </si>
  <si>
    <t>SEG TIT CART FACTORPLUS</t>
  </si>
  <si>
    <t>TSF</t>
  </si>
  <si>
    <t>FID TIT CARTERA CRED RETAIL I</t>
  </si>
  <si>
    <t>FRC</t>
  </si>
  <si>
    <t>FID MERCANTIL PRIMERA TIT CAR COMPUTRON</t>
  </si>
  <si>
    <t>CLASS INTERNATIONAL RATINGS S.A.</t>
  </si>
  <si>
    <t>OCTAVA TIT CAR COMERCIAL IASA</t>
  </si>
  <si>
    <t>FOI</t>
  </si>
  <si>
    <t>FID NOVENA TIT CART AUTOMOTRIZ AMAZONAS</t>
  </si>
  <si>
    <t>FAA</t>
  </si>
  <si>
    <t>FID TIT CARTERA NOVACREDIT VI</t>
  </si>
  <si>
    <t>FVC</t>
  </si>
  <si>
    <t>FIDEICOMISO MERCANTIL OCTAVA TITULARIZACIÓN CARTERA COMERCIAL - IASA</t>
  </si>
  <si>
    <t>1020-D</t>
  </si>
  <si>
    <t>PACIFIC CREDIT RATINGS S.A.</t>
  </si>
  <si>
    <t>FID TIT CARTERA CREDITO RETAIL II</t>
  </si>
  <si>
    <t>RTL</t>
  </si>
  <si>
    <t>FIDEICOMISO TITULARIZACION BOTANIQO</t>
  </si>
  <si>
    <t>FBO</t>
  </si>
  <si>
    <t>FIDEICOMISO MERCANTIL PRIMERA TITULARIZACION DE CARTERA COMPUTRON</t>
  </si>
  <si>
    <t>PRIMERA TITULARIZACION - TRAMO III</t>
  </si>
  <si>
    <t>PRIMERA TITULARIZACION II TRAMO</t>
  </si>
  <si>
    <t>EMISIÓN DE TITULARIZACIONES - 2024</t>
  </si>
  <si>
    <t>Cristhian Madera</t>
  </si>
  <si>
    <t>cristhianmadera@bolsadequito.com</t>
  </si>
  <si>
    <t>FTC</t>
  </si>
  <si>
    <t>FIDEICOMISO MERCANTIL CTH 12</t>
  </si>
  <si>
    <t>FTH</t>
  </si>
  <si>
    <t>FID TIT PROY NUEVO TRANSPORTE GUAYAQUIL</t>
  </si>
  <si>
    <t>FTG</t>
  </si>
  <si>
    <t>Rendimiento vs. Tasa Activa Hasta mar-24</t>
  </si>
  <si>
    <t>Rendimiento vs. Tasa Pasiva Hasta mar-24</t>
  </si>
  <si>
    <t>Hasta mar-2024</t>
  </si>
  <si>
    <t>Comparativo Mensual (feb-2024 - mar-2024)</t>
  </si>
  <si>
    <t>Comparativo Mensual (mar-2023 - mar-2024)</t>
  </si>
  <si>
    <t>VTC - Análisis Comparativo (feb-2024 - mar-2024)</t>
  </si>
  <si>
    <t>Variación del mes de mar-24 con respecto al mes de feb-24</t>
  </si>
  <si>
    <t>Variación en USD   (mar-24 - feb-24)</t>
  </si>
  <si>
    <t>Análisis Comparativo (mar-2023 - mar-2024)</t>
  </si>
  <si>
    <t>Variación del mes de mar-24 con respecto al mes de mar-23</t>
  </si>
  <si>
    <t>Variación en USD   (mar-24 - mar-23)</t>
  </si>
  <si>
    <t>VTC - Información Mensual mar-24</t>
  </si>
  <si>
    <t>Montos Negociados por Emisor (mar-2024)</t>
  </si>
  <si>
    <t>Montos Negociados por Sector (mar-2024)</t>
  </si>
  <si>
    <t>VTC - Información Nacional Acumulada De ene a mar-24</t>
  </si>
  <si>
    <t>Montos Negociados por Emisor (ene a mar-2024)</t>
  </si>
  <si>
    <t>Montos Negociados por Sector (ene a mar-2024)</t>
  </si>
  <si>
    <t>COMERCIAL</t>
  </si>
  <si>
    <t>FINANCIERO</t>
  </si>
  <si>
    <t>Hasta  mar-24</t>
  </si>
  <si>
    <t>Hasta  mar-23</t>
  </si>
</sst>
</file>

<file path=xl/styles.xml><?xml version="1.0" encoding="utf-8"?>
<styleSheet xmlns="http://schemas.openxmlformats.org/spreadsheetml/2006/main">
  <numFmts count="3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yyyy\-mm\-dd;@"/>
    <numFmt numFmtId="167" formatCode="_ * #,##0.0_ ;_ * \-#,##0.0_ ;_ * &quot;-&quot;??_ ;_ @_ "/>
    <numFmt numFmtId="168" formatCode="_ * #,##0.0_ ;_ * \-#,##0.0_ ;_ * &quot;-&quot;?_ ;_ @_ "/>
    <numFmt numFmtId="169" formatCode="_ * #,##0_ ;_ * \-#,##0_ ;_ * &quot;-&quot;?_ ;_ @_ "/>
    <numFmt numFmtId="170" formatCode="_ * #,##0.00_ ;_ * \-#,##0.00_ ;_ * &quot;-&quot;?_ ;_ @_ "/>
    <numFmt numFmtId="171" formatCode="_ * #,##0.000_ ;_ * \-#,##0.000_ ;_ * &quot;-&quot;??_ ;_ @_ "/>
    <numFmt numFmtId="172" formatCode="[$-C0A]mmm\-yy;@"/>
    <numFmt numFmtId="173" formatCode="_-* #,##0.0\ _p_t_a_-;\-* #,##0.0\ _p_t_a_-;_-* &quot;-&quot;?\ _p_t_a_-;_-@_-"/>
    <numFmt numFmtId="174" formatCode="0.0000"/>
    <numFmt numFmtId="175" formatCode="#,##0.0000"/>
    <numFmt numFmtId="176" formatCode="_(* #,##0_);_(* \(#,##0\);_(* &quot;-&quot;??_);_(@_)"/>
    <numFmt numFmtId="177" formatCode="_ * #,##0.00000_ ;_ * \-#,##0.00000_ ;_ * &quot;-&quot;??_ ;_ @_ "/>
    <numFmt numFmtId="178" formatCode="mmmm\-yyyy"/>
    <numFmt numFmtId="179" formatCode="mmmm\-yy"/>
    <numFmt numFmtId="180" formatCode="_(* #,##0.0_);_(* \(#,##0.0\);_(* &quot;-&quot;?_);_(@_)"/>
    <numFmt numFmtId="181" formatCode="0.00000000000000000"/>
    <numFmt numFmtId="182" formatCode="_(* ###,000_);_(* \(###,000\);_(* &quot;-&quot;??_);_(@_)"/>
    <numFmt numFmtId="183" formatCode="_(* #.##000_);_(* \(#.##000\);_(* &quot;-&quot;??_);_(@_)"/>
    <numFmt numFmtId="184" formatCode="_ * #.##0_ ;_ * \-#.##0_ ;_ * &quot;-&quot;??_ ;_ @_ "/>
    <numFmt numFmtId="185" formatCode="mmm\-\y\y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9"/>
      <name val="Verdana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8"/>
      <color indexed="9"/>
      <name val="Verdana"/>
      <family val="2"/>
    </font>
    <font>
      <sz val="7"/>
      <name val="Verdana"/>
      <family val="2"/>
    </font>
    <font>
      <b/>
      <sz val="9"/>
      <color indexed="9"/>
      <name val="Verdana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b/>
      <sz val="16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62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2"/>
    </font>
    <font>
      <sz val="8.45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Verdana"/>
      <family val="2"/>
    </font>
    <font>
      <sz val="6.2"/>
      <color indexed="8"/>
      <name val="Arial"/>
      <family val="2"/>
    </font>
    <font>
      <sz val="6.75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6.55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 tint="-0.1499900072813034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rgb="FF23357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33571"/>
        <bgColor indexed="64"/>
      </patternFill>
    </fill>
    <fill>
      <patternFill patternType="solid">
        <fgColor rgb="FFC81C24"/>
        <bgColor indexed="64"/>
      </patternFill>
    </fill>
    <fill>
      <patternFill patternType="solid">
        <fgColor theme="0" tint="-0.149990007281303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1" fillId="29" borderId="1" applyNumberFormat="0" applyAlignment="0" applyProtection="0"/>
    <xf numFmtId="0" fontId="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680">
    <xf numFmtId="0" fontId="0" fillId="0" borderId="0" xfId="0" applyAlignment="1">
      <alignment/>
    </xf>
    <xf numFmtId="0" fontId="2" fillId="0" borderId="0" xfId="33" applyFont="1" applyAlignment="1">
      <alignment/>
    </xf>
    <xf numFmtId="164" fontId="0" fillId="0" borderId="0" xfId="52" applyFont="1" applyAlignment="1">
      <alignment/>
    </xf>
    <xf numFmtId="0" fontId="4" fillId="33" borderId="10" xfId="33" applyFont="1" applyFill="1" applyBorder="1" applyAlignment="1">
      <alignment/>
    </xf>
    <xf numFmtId="0" fontId="4" fillId="33" borderId="11" xfId="33" applyFont="1" applyFill="1" applyBorder="1" applyAlignment="1">
      <alignment/>
    </xf>
    <xf numFmtId="0" fontId="4" fillId="33" borderId="0" xfId="33" applyFont="1" applyFill="1" applyBorder="1" applyAlignment="1">
      <alignment/>
    </xf>
    <xf numFmtId="0" fontId="4" fillId="33" borderId="12" xfId="33" applyFont="1" applyFill="1" applyBorder="1" applyAlignment="1">
      <alignment/>
    </xf>
    <xf numFmtId="0" fontId="4" fillId="33" borderId="13" xfId="33" applyFont="1" applyFill="1" applyBorder="1" applyAlignment="1">
      <alignment/>
    </xf>
    <xf numFmtId="167" fontId="0" fillId="0" borderId="0" xfId="52" applyNumberFormat="1" applyFont="1" applyAlignment="1">
      <alignment/>
    </xf>
    <xf numFmtId="165" fontId="0" fillId="0" borderId="0" xfId="52" applyNumberFormat="1" applyFont="1" applyAlignment="1">
      <alignment/>
    </xf>
    <xf numFmtId="165" fontId="0" fillId="0" borderId="0" xfId="33" applyNumberFormat="1" applyFont="1" applyAlignment="1">
      <alignment/>
    </xf>
    <xf numFmtId="0" fontId="2" fillId="0" borderId="0" xfId="33" applyFont="1" applyAlignment="1">
      <alignment horizontal="center"/>
    </xf>
    <xf numFmtId="167" fontId="0" fillId="0" borderId="0" xfId="33" applyNumberFormat="1" applyFont="1" applyAlignment="1">
      <alignment/>
    </xf>
    <xf numFmtId="168" fontId="0" fillId="0" borderId="0" xfId="33" applyNumberFormat="1" applyFont="1" applyAlignment="1">
      <alignment/>
    </xf>
    <xf numFmtId="164" fontId="0" fillId="0" borderId="0" xfId="33" applyNumberFormat="1" applyFont="1" applyAlignment="1">
      <alignment/>
    </xf>
    <xf numFmtId="169" fontId="0" fillId="0" borderId="0" xfId="33" applyNumberFormat="1" applyFont="1" applyAlignment="1">
      <alignment/>
    </xf>
    <xf numFmtId="170" fontId="0" fillId="0" borderId="0" xfId="33" applyNumberFormat="1" applyFont="1" applyAlignment="1">
      <alignment/>
    </xf>
    <xf numFmtId="17" fontId="0" fillId="0" borderId="0" xfId="33" applyNumberFormat="1" applyFont="1" applyAlignment="1">
      <alignment/>
    </xf>
    <xf numFmtId="17" fontId="2" fillId="0" borderId="0" xfId="33" applyNumberFormat="1" applyFont="1" applyAlignment="1">
      <alignment horizontal="left"/>
    </xf>
    <xf numFmtId="0" fontId="0" fillId="34" borderId="0" xfId="33" applyFont="1" applyFill="1" applyAlignment="1">
      <alignment/>
    </xf>
    <xf numFmtId="167" fontId="0" fillId="34" borderId="0" xfId="33" applyNumberFormat="1" applyFont="1" applyFill="1" applyAlignment="1">
      <alignment/>
    </xf>
    <xf numFmtId="0" fontId="0" fillId="34" borderId="0" xfId="33" applyFont="1" applyFill="1" applyAlignment="1">
      <alignment horizontal="center"/>
    </xf>
    <xf numFmtId="17" fontId="0" fillId="34" borderId="0" xfId="33" applyNumberFormat="1" applyFont="1" applyFill="1" applyAlignment="1">
      <alignment/>
    </xf>
    <xf numFmtId="164" fontId="0" fillId="34" borderId="0" xfId="33" applyNumberFormat="1" applyFont="1" applyFill="1" applyAlignment="1">
      <alignment/>
    </xf>
    <xf numFmtId="169" fontId="0" fillId="34" borderId="0" xfId="33" applyNumberFormat="1" applyFont="1" applyFill="1" applyAlignment="1">
      <alignment/>
    </xf>
    <xf numFmtId="167" fontId="0" fillId="0" borderId="0" xfId="52" applyNumberFormat="1" applyAlignment="1">
      <alignment/>
    </xf>
    <xf numFmtId="165" fontId="0" fillId="0" borderId="0" xfId="52" applyNumberFormat="1" applyAlignment="1">
      <alignment/>
    </xf>
    <xf numFmtId="164" fontId="0" fillId="0" borderId="0" xfId="52" applyAlignment="1">
      <alignment/>
    </xf>
    <xf numFmtId="17" fontId="2" fillId="35" borderId="0" xfId="33" applyNumberFormat="1" applyFont="1" applyFill="1" applyAlignment="1">
      <alignment horizontal="left"/>
    </xf>
    <xf numFmtId="0" fontId="0" fillId="33" borderId="0" xfId="33" applyFont="1" applyFill="1" applyAlignment="1">
      <alignment/>
    </xf>
    <xf numFmtId="0" fontId="0" fillId="33" borderId="14" xfId="33" applyFont="1" applyFill="1" applyBorder="1" applyAlignment="1">
      <alignment/>
    </xf>
    <xf numFmtId="0" fontId="0" fillId="33" borderId="15" xfId="33" applyFont="1" applyFill="1" applyBorder="1" applyAlignment="1">
      <alignment/>
    </xf>
    <xf numFmtId="0" fontId="0" fillId="33" borderId="16" xfId="33" applyFont="1" applyFill="1" applyBorder="1" applyAlignment="1">
      <alignment/>
    </xf>
    <xf numFmtId="0" fontId="0" fillId="0" borderId="17" xfId="33" applyFont="1" applyBorder="1" applyAlignment="1">
      <alignment/>
    </xf>
    <xf numFmtId="0" fontId="12" fillId="33" borderId="12" xfId="33" applyFont="1" applyFill="1" applyBorder="1" applyAlignment="1">
      <alignment horizontal="center"/>
    </xf>
    <xf numFmtId="0" fontId="0" fillId="0" borderId="14" xfId="33" applyFont="1" applyBorder="1" applyAlignment="1">
      <alignment/>
    </xf>
    <xf numFmtId="0" fontId="10" fillId="33" borderId="12" xfId="33" applyFont="1" applyFill="1" applyBorder="1" applyAlignment="1">
      <alignment horizontal="center" vertical="center" wrapText="1"/>
    </xf>
    <xf numFmtId="0" fontId="10" fillId="33" borderId="12" xfId="33" applyFont="1" applyFill="1" applyBorder="1" applyAlignment="1">
      <alignment horizontal="center"/>
    </xf>
    <xf numFmtId="166" fontId="11" fillId="33" borderId="12" xfId="33" applyNumberFormat="1" applyFont="1" applyFill="1" applyBorder="1" applyAlignment="1">
      <alignment horizontal="center" vertical="center" wrapText="1"/>
    </xf>
    <xf numFmtId="0" fontId="0" fillId="33" borderId="0" xfId="33" applyFont="1" applyFill="1" applyAlignment="1">
      <alignment/>
    </xf>
    <xf numFmtId="0" fontId="0" fillId="0" borderId="0" xfId="33" applyFont="1" applyAlignment="1">
      <alignment/>
    </xf>
    <xf numFmtId="167" fontId="0" fillId="0" borderId="0" xfId="52" applyNumberFormat="1" applyFont="1" applyFill="1" applyAlignment="1">
      <alignment/>
    </xf>
    <xf numFmtId="171" fontId="0" fillId="0" borderId="0" xfId="33" applyNumberFormat="1" applyFont="1" applyAlignment="1">
      <alignment/>
    </xf>
    <xf numFmtId="173" fontId="0" fillId="0" borderId="0" xfId="33" applyNumberFormat="1" applyFont="1" applyAlignment="1">
      <alignment/>
    </xf>
    <xf numFmtId="0" fontId="2" fillId="36" borderId="0" xfId="33" applyFont="1" applyFill="1" applyAlignment="1">
      <alignment horizontal="center"/>
    </xf>
    <xf numFmtId="0" fontId="2" fillId="35" borderId="0" xfId="33" applyFont="1" applyFill="1" applyAlignment="1">
      <alignment horizontal="center"/>
    </xf>
    <xf numFmtId="17" fontId="13" fillId="0" borderId="0" xfId="33" applyNumberFormat="1" applyFont="1" applyAlignment="1">
      <alignment/>
    </xf>
    <xf numFmtId="0" fontId="11" fillId="33" borderId="0" xfId="33" applyFont="1" applyFill="1" applyBorder="1" applyAlignment="1">
      <alignment horizontal="center" vertical="center"/>
    </xf>
    <xf numFmtId="0" fontId="11" fillId="33" borderId="0" xfId="33" applyFont="1" applyFill="1" applyBorder="1" applyAlignment="1">
      <alignment horizontal="center"/>
    </xf>
    <xf numFmtId="0" fontId="2" fillId="36" borderId="0" xfId="33" applyFont="1" applyFill="1" applyAlignment="1">
      <alignment/>
    </xf>
    <xf numFmtId="2" fontId="0" fillId="0" borderId="0" xfId="33" applyNumberFormat="1" applyFont="1" applyAlignment="1">
      <alignment/>
    </xf>
    <xf numFmtId="1" fontId="0" fillId="0" borderId="0" xfId="33" applyNumberFormat="1" applyFont="1" applyAlignment="1">
      <alignment/>
    </xf>
    <xf numFmtId="0" fontId="0" fillId="37" borderId="0" xfId="33" applyFont="1" applyFill="1" applyAlignment="1">
      <alignment horizontal="left"/>
    </xf>
    <xf numFmtId="0" fontId="11" fillId="33" borderId="0" xfId="33" applyFont="1" applyFill="1" applyBorder="1" applyAlignment="1">
      <alignment horizontal="center" vertical="center" wrapText="1"/>
    </xf>
    <xf numFmtId="3" fontId="11" fillId="33" borderId="0" xfId="33" applyNumberFormat="1" applyFont="1" applyFill="1" applyBorder="1" applyAlignment="1">
      <alignment horizontal="center"/>
    </xf>
    <xf numFmtId="3" fontId="11" fillId="33" borderId="0" xfId="33" applyNumberFormat="1" applyFont="1" applyFill="1" applyBorder="1" applyAlignment="1">
      <alignment horizontal="center" vertical="center" wrapText="1"/>
    </xf>
    <xf numFmtId="15" fontId="11" fillId="33" borderId="0" xfId="33" applyNumberFormat="1" applyFont="1" applyFill="1" applyBorder="1" applyAlignment="1">
      <alignment horizontal="center" vertical="center"/>
    </xf>
    <xf numFmtId="0" fontId="11" fillId="33" borderId="18" xfId="33" applyNumberFormat="1" applyFont="1" applyFill="1" applyBorder="1" applyAlignment="1">
      <alignment horizontal="center" vertical="center" wrapText="1"/>
    </xf>
    <xf numFmtId="0" fontId="11" fillId="33" borderId="18" xfId="33" applyNumberFormat="1" applyFont="1" applyFill="1" applyBorder="1" applyAlignment="1">
      <alignment horizontal="center" vertical="center"/>
    </xf>
    <xf numFmtId="3" fontId="11" fillId="33" borderId="18" xfId="33" applyNumberFormat="1" applyFont="1" applyFill="1" applyBorder="1" applyAlignment="1">
      <alignment horizontal="center" vertical="center" wrapText="1"/>
    </xf>
    <xf numFmtId="10" fontId="11" fillId="33" borderId="18" xfId="58" applyNumberFormat="1" applyFont="1" applyFill="1" applyBorder="1" applyAlignment="1">
      <alignment horizontal="center" vertical="center"/>
    </xf>
    <xf numFmtId="0" fontId="11" fillId="33" borderId="18" xfId="33" applyFont="1" applyFill="1" applyBorder="1" applyAlignment="1">
      <alignment horizontal="center" vertical="center" wrapText="1"/>
    </xf>
    <xf numFmtId="15" fontId="11" fillId="33" borderId="18" xfId="33" applyNumberFormat="1" applyFont="1" applyFill="1" applyBorder="1" applyAlignment="1">
      <alignment horizontal="center" vertical="center" wrapText="1"/>
    </xf>
    <xf numFmtId="0" fontId="11" fillId="33" borderId="19" xfId="33" applyNumberFormat="1" applyFont="1" applyFill="1" applyBorder="1" applyAlignment="1">
      <alignment horizontal="center" vertical="center"/>
    </xf>
    <xf numFmtId="3" fontId="11" fillId="33" borderId="19" xfId="33" applyNumberFormat="1" applyFont="1" applyFill="1" applyBorder="1" applyAlignment="1">
      <alignment horizontal="center" vertical="center" wrapText="1"/>
    </xf>
    <xf numFmtId="0" fontId="11" fillId="33" borderId="20" xfId="33" applyNumberFormat="1" applyFont="1" applyFill="1" applyBorder="1" applyAlignment="1">
      <alignment horizontal="center" vertical="center" wrapText="1"/>
    </xf>
    <xf numFmtId="15" fontId="11" fillId="33" borderId="19" xfId="33" applyNumberFormat="1" applyFont="1" applyFill="1" applyBorder="1" applyAlignment="1">
      <alignment horizontal="center" vertical="center" wrapText="1"/>
    </xf>
    <xf numFmtId="0" fontId="11" fillId="33" borderId="19" xfId="33" applyFont="1" applyFill="1" applyBorder="1" applyAlignment="1">
      <alignment horizontal="center" vertical="center" wrapText="1"/>
    </xf>
    <xf numFmtId="0" fontId="11" fillId="33" borderId="19" xfId="33" applyNumberFormat="1" applyFont="1" applyFill="1" applyBorder="1" applyAlignment="1">
      <alignment horizontal="center" vertical="center" wrapText="1"/>
    </xf>
    <xf numFmtId="10" fontId="11" fillId="33" borderId="19" xfId="58" applyNumberFormat="1" applyFont="1" applyFill="1" applyBorder="1" applyAlignment="1">
      <alignment horizontal="center" vertical="center"/>
    </xf>
    <xf numFmtId="166" fontId="11" fillId="33" borderId="19" xfId="33" applyNumberFormat="1" applyFont="1" applyFill="1" applyBorder="1" applyAlignment="1">
      <alignment horizontal="center" vertical="center" wrapText="1"/>
    </xf>
    <xf numFmtId="166" fontId="11" fillId="33" borderId="18" xfId="33" applyNumberFormat="1" applyFont="1" applyFill="1" applyBorder="1" applyAlignment="1">
      <alignment horizontal="center" vertical="center" wrapText="1"/>
    </xf>
    <xf numFmtId="0" fontId="0" fillId="0" borderId="21" xfId="33" applyFont="1" applyFill="1" applyBorder="1" applyAlignment="1">
      <alignment/>
    </xf>
    <xf numFmtId="15" fontId="0" fillId="0" borderId="22" xfId="33" applyNumberFormat="1" applyFont="1" applyFill="1" applyBorder="1" applyAlignment="1">
      <alignment/>
    </xf>
    <xf numFmtId="0" fontId="0" fillId="0" borderId="0" xfId="33" applyFont="1" applyFill="1" applyAlignment="1">
      <alignment/>
    </xf>
    <xf numFmtId="2" fontId="0" fillId="0" borderId="0" xfId="33" applyNumberFormat="1" applyFont="1" applyFill="1" applyAlignment="1">
      <alignment/>
    </xf>
    <xf numFmtId="175" fontId="14" fillId="0" borderId="0" xfId="33" applyNumberFormat="1" applyFont="1" applyAlignment="1">
      <alignment/>
    </xf>
    <xf numFmtId="164" fontId="0" fillId="0" borderId="21" xfId="33" applyNumberFormat="1" applyFont="1" applyFill="1" applyBorder="1" applyAlignment="1">
      <alignment/>
    </xf>
    <xf numFmtId="164" fontId="0" fillId="0" borderId="21" xfId="52" applyFont="1" applyFill="1" applyBorder="1" applyAlignment="1">
      <alignment/>
    </xf>
    <xf numFmtId="164" fontId="2" fillId="0" borderId="0" xfId="52" applyFont="1" applyFill="1" applyAlignment="1">
      <alignment/>
    </xf>
    <xf numFmtId="164" fontId="0" fillId="0" borderId="0" xfId="52" applyFont="1" applyFill="1" applyAlignment="1">
      <alignment/>
    </xf>
    <xf numFmtId="15" fontId="0" fillId="0" borderId="23" xfId="33" applyNumberFormat="1" applyFont="1" applyFill="1" applyBorder="1" applyAlignment="1">
      <alignment/>
    </xf>
    <xf numFmtId="0" fontId="0" fillId="0" borderId="24" xfId="33" applyFont="1" applyFill="1" applyBorder="1" applyAlignment="1">
      <alignment/>
    </xf>
    <xf numFmtId="2" fontId="0" fillId="0" borderId="24" xfId="33" applyNumberFormat="1" applyFont="1" applyFill="1" applyBorder="1" applyAlignment="1">
      <alignment/>
    </xf>
    <xf numFmtId="15" fontId="2" fillId="36" borderId="25" xfId="33" applyNumberFormat="1" applyFont="1" applyFill="1" applyBorder="1" applyAlignment="1">
      <alignment/>
    </xf>
    <xf numFmtId="0" fontId="2" fillId="36" borderId="25" xfId="33" applyFont="1" applyFill="1" applyBorder="1" applyAlignment="1">
      <alignment/>
    </xf>
    <xf numFmtId="2" fontId="2" fillId="36" borderId="25" xfId="33" applyNumberFormat="1" applyFont="1" applyFill="1" applyBorder="1" applyAlignment="1">
      <alignment/>
    </xf>
    <xf numFmtId="0" fontId="2" fillId="36" borderId="26" xfId="33" applyFont="1" applyFill="1" applyBorder="1" applyAlignment="1">
      <alignment/>
    </xf>
    <xf numFmtId="0" fontId="2" fillId="0" borderId="0" xfId="33" applyFont="1" applyFill="1" applyBorder="1" applyAlignment="1">
      <alignment/>
    </xf>
    <xf numFmtId="0" fontId="2" fillId="36" borderId="27" xfId="33" applyFont="1" applyFill="1" applyBorder="1" applyAlignment="1">
      <alignment/>
    </xf>
    <xf numFmtId="164" fontId="0" fillId="0" borderId="27" xfId="52" applyFont="1" applyBorder="1" applyAlignment="1">
      <alignment/>
    </xf>
    <xf numFmtId="164" fontId="2" fillId="0" borderId="24" xfId="52" applyFont="1" applyFill="1" applyBorder="1" applyAlignment="1">
      <alignment/>
    </xf>
    <xf numFmtId="164" fontId="2" fillId="0" borderId="28" xfId="52" applyFont="1" applyFill="1" applyBorder="1" applyAlignment="1">
      <alignment/>
    </xf>
    <xf numFmtId="0" fontId="2" fillId="33" borderId="0" xfId="33" applyFont="1" applyFill="1" applyAlignment="1">
      <alignment horizontal="center"/>
    </xf>
    <xf numFmtId="167" fontId="0" fillId="33" borderId="0" xfId="52" applyNumberFormat="1" applyFont="1" applyFill="1" applyAlignment="1">
      <alignment/>
    </xf>
    <xf numFmtId="0" fontId="0" fillId="0" borderId="27" xfId="33" applyFont="1" applyFill="1" applyBorder="1" applyAlignment="1">
      <alignment/>
    </xf>
    <xf numFmtId="0" fontId="0" fillId="0" borderId="28" xfId="33" applyFont="1" applyFill="1" applyBorder="1" applyAlignment="1">
      <alignment/>
    </xf>
    <xf numFmtId="15" fontId="2" fillId="35" borderId="25" xfId="33" applyNumberFormat="1" applyFont="1" applyFill="1" applyBorder="1" applyAlignment="1">
      <alignment/>
    </xf>
    <xf numFmtId="0" fontId="2" fillId="35" borderId="25" xfId="33" applyFont="1" applyFill="1" applyBorder="1" applyAlignment="1">
      <alignment/>
    </xf>
    <xf numFmtId="2" fontId="2" fillId="35" borderId="25" xfId="33" applyNumberFormat="1" applyFont="1" applyFill="1" applyBorder="1" applyAlignment="1">
      <alignment/>
    </xf>
    <xf numFmtId="0" fontId="2" fillId="35" borderId="29" xfId="33" applyFont="1" applyFill="1" applyBorder="1" applyAlignment="1">
      <alignment/>
    </xf>
    <xf numFmtId="0" fontId="2" fillId="35" borderId="26" xfId="33" applyFont="1" applyFill="1" applyBorder="1" applyAlignment="1">
      <alignment/>
    </xf>
    <xf numFmtId="15" fontId="0" fillId="35" borderId="22" xfId="33" applyNumberFormat="1" applyFont="1" applyFill="1" applyBorder="1" applyAlignment="1">
      <alignment/>
    </xf>
    <xf numFmtId="0" fontId="0" fillId="35" borderId="0" xfId="33" applyFont="1" applyFill="1" applyAlignment="1">
      <alignment/>
    </xf>
    <xf numFmtId="2" fontId="0" fillId="35" borderId="0" xfId="33" applyNumberFormat="1" applyFont="1" applyFill="1" applyAlignment="1">
      <alignment/>
    </xf>
    <xf numFmtId="164" fontId="0" fillId="35" borderId="0" xfId="52" applyFont="1" applyFill="1" applyAlignment="1">
      <alignment/>
    </xf>
    <xf numFmtId="164" fontId="0" fillId="35" borderId="27" xfId="52" applyFont="1" applyFill="1" applyBorder="1" applyAlignment="1">
      <alignment/>
    </xf>
    <xf numFmtId="175" fontId="14" fillId="35" borderId="0" xfId="33" applyNumberFormat="1" applyFont="1" applyFill="1" applyAlignment="1">
      <alignment/>
    </xf>
    <xf numFmtId="164" fontId="0" fillId="35" borderId="21" xfId="33" applyNumberFormat="1" applyFont="1" applyFill="1" applyBorder="1" applyAlignment="1">
      <alignment/>
    </xf>
    <xf numFmtId="15" fontId="0" fillId="35" borderId="23" xfId="33" applyNumberFormat="1" applyFont="1" applyFill="1" applyBorder="1" applyAlignment="1">
      <alignment/>
    </xf>
    <xf numFmtId="0" fontId="0" fillId="35" borderId="24" xfId="33" applyFont="1" applyFill="1" applyBorder="1" applyAlignment="1">
      <alignment/>
    </xf>
    <xf numFmtId="2" fontId="0" fillId="35" borderId="24" xfId="33" applyNumberFormat="1" applyFont="1" applyFill="1" applyBorder="1" applyAlignment="1">
      <alignment/>
    </xf>
    <xf numFmtId="164" fontId="0" fillId="35" borderId="24" xfId="52" applyFont="1" applyFill="1" applyBorder="1" applyAlignment="1">
      <alignment/>
    </xf>
    <xf numFmtId="164" fontId="0" fillId="35" borderId="28" xfId="52" applyFont="1" applyFill="1" applyBorder="1" applyAlignment="1">
      <alignment/>
    </xf>
    <xf numFmtId="0" fontId="2" fillId="35" borderId="0" xfId="33" applyFont="1" applyFill="1" applyAlignment="1">
      <alignment/>
    </xf>
    <xf numFmtId="164" fontId="2" fillId="35" borderId="24" xfId="52" applyFont="1" applyFill="1" applyBorder="1" applyAlignment="1">
      <alignment/>
    </xf>
    <xf numFmtId="0" fontId="0" fillId="0" borderId="30" xfId="33" applyFont="1" applyBorder="1" applyAlignment="1">
      <alignment/>
    </xf>
    <xf numFmtId="0" fontId="0" fillId="0" borderId="31" xfId="33" applyFont="1" applyBorder="1" applyAlignment="1">
      <alignment horizontal="center"/>
    </xf>
    <xf numFmtId="0" fontId="0" fillId="0" borderId="32" xfId="33" applyFont="1" applyBorder="1" applyAlignment="1">
      <alignment horizontal="center"/>
    </xf>
    <xf numFmtId="17" fontId="0" fillId="0" borderId="33" xfId="33" applyNumberFormat="1" applyFont="1" applyBorder="1" applyAlignment="1">
      <alignment/>
    </xf>
    <xf numFmtId="167" fontId="0" fillId="0" borderId="34" xfId="33" applyNumberFormat="1" applyFont="1" applyBorder="1" applyAlignment="1">
      <alignment/>
    </xf>
    <xf numFmtId="164" fontId="0" fillId="0" borderId="34" xfId="33" applyNumberFormat="1" applyFont="1" applyBorder="1" applyAlignment="1">
      <alignment/>
    </xf>
    <xf numFmtId="169" fontId="0" fillId="0" borderId="34" xfId="33" applyNumberFormat="1" applyFont="1" applyBorder="1" applyAlignment="1">
      <alignment/>
    </xf>
    <xf numFmtId="164" fontId="0" fillId="0" borderId="35" xfId="33" applyNumberFormat="1" applyFont="1" applyBorder="1" applyAlignment="1">
      <alignment/>
    </xf>
    <xf numFmtId="0" fontId="0" fillId="0" borderId="36" xfId="33" applyFont="1" applyBorder="1" applyAlignment="1">
      <alignment horizontal="center"/>
    </xf>
    <xf numFmtId="0" fontId="0" fillId="0" borderId="37" xfId="33" applyFont="1" applyBorder="1" applyAlignment="1">
      <alignment horizontal="center"/>
    </xf>
    <xf numFmtId="0" fontId="0" fillId="0" borderId="38" xfId="33" applyFont="1" applyBorder="1" applyAlignment="1">
      <alignment horizontal="center"/>
    </xf>
    <xf numFmtId="17" fontId="0" fillId="0" borderId="39" xfId="33" applyNumberFormat="1" applyFont="1" applyBorder="1" applyAlignment="1">
      <alignment/>
    </xf>
    <xf numFmtId="15" fontId="2" fillId="38" borderId="25" xfId="33" applyNumberFormat="1" applyFont="1" applyFill="1" applyBorder="1" applyAlignment="1">
      <alignment/>
    </xf>
    <xf numFmtId="0" fontId="2" fillId="38" borderId="25" xfId="33" applyFont="1" applyFill="1" applyBorder="1" applyAlignment="1">
      <alignment/>
    </xf>
    <xf numFmtId="2" fontId="2" fillId="38" borderId="25" xfId="33" applyNumberFormat="1" applyFont="1" applyFill="1" applyBorder="1" applyAlignment="1">
      <alignment/>
    </xf>
    <xf numFmtId="0" fontId="2" fillId="38" borderId="29" xfId="33" applyFont="1" applyFill="1" applyBorder="1" applyAlignment="1">
      <alignment/>
    </xf>
    <xf numFmtId="0" fontId="2" fillId="38" borderId="26" xfId="33" applyFont="1" applyFill="1" applyBorder="1" applyAlignment="1">
      <alignment/>
    </xf>
    <xf numFmtId="0" fontId="0" fillId="38" borderId="0" xfId="33" applyFont="1" applyFill="1" applyAlignment="1">
      <alignment/>
    </xf>
    <xf numFmtId="15" fontId="0" fillId="38" borderId="22" xfId="33" applyNumberFormat="1" applyFont="1" applyFill="1" applyBorder="1" applyAlignment="1">
      <alignment/>
    </xf>
    <xf numFmtId="0" fontId="0" fillId="38" borderId="0" xfId="33" applyFont="1" applyFill="1" applyAlignment="1">
      <alignment/>
    </xf>
    <xf numFmtId="2" fontId="0" fillId="38" borderId="0" xfId="33" applyNumberFormat="1" applyFont="1" applyFill="1" applyAlignment="1">
      <alignment/>
    </xf>
    <xf numFmtId="164" fontId="0" fillId="38" borderId="0" xfId="52" applyFont="1" applyFill="1" applyAlignment="1">
      <alignment/>
    </xf>
    <xf numFmtId="164" fontId="0" fillId="38" borderId="27" xfId="52" applyFont="1" applyFill="1" applyBorder="1" applyAlignment="1">
      <alignment/>
    </xf>
    <xf numFmtId="175" fontId="14" fillId="38" borderId="0" xfId="33" applyNumberFormat="1" applyFont="1" applyFill="1" applyAlignment="1">
      <alignment/>
    </xf>
    <xf numFmtId="164" fontId="0" fillId="38" borderId="21" xfId="33" applyNumberFormat="1" applyFont="1" applyFill="1" applyBorder="1" applyAlignment="1">
      <alignment/>
    </xf>
    <xf numFmtId="15" fontId="0" fillId="38" borderId="23" xfId="33" applyNumberFormat="1" applyFont="1" applyFill="1" applyBorder="1" applyAlignment="1">
      <alignment/>
    </xf>
    <xf numFmtId="0" fontId="0" fillId="38" borderId="24" xfId="33" applyFont="1" applyFill="1" applyBorder="1" applyAlignment="1">
      <alignment/>
    </xf>
    <xf numFmtId="2" fontId="0" fillId="38" borderId="24" xfId="33" applyNumberFormat="1" applyFont="1" applyFill="1" applyBorder="1" applyAlignment="1">
      <alignment/>
    </xf>
    <xf numFmtId="164" fontId="0" fillId="38" borderId="24" xfId="52" applyFont="1" applyFill="1" applyBorder="1" applyAlignment="1">
      <alignment/>
    </xf>
    <xf numFmtId="164" fontId="0" fillId="38" borderId="28" xfId="52" applyFont="1" applyFill="1" applyBorder="1" applyAlignment="1">
      <alignment/>
    </xf>
    <xf numFmtId="0" fontId="2" fillId="38" borderId="0" xfId="33" applyFont="1" applyFill="1" applyAlignment="1">
      <alignment/>
    </xf>
    <xf numFmtId="164" fontId="2" fillId="38" borderId="24" xfId="52" applyFont="1" applyFill="1" applyBorder="1" applyAlignment="1">
      <alignment/>
    </xf>
    <xf numFmtId="17" fontId="2" fillId="33" borderId="0" xfId="33" applyNumberFormat="1" applyFont="1" applyFill="1" applyAlignment="1">
      <alignment horizontal="left"/>
    </xf>
    <xf numFmtId="0" fontId="2" fillId="33" borderId="0" xfId="33" applyFont="1" applyFill="1" applyAlignment="1">
      <alignment/>
    </xf>
    <xf numFmtId="15" fontId="2" fillId="39" borderId="25" xfId="33" applyNumberFormat="1" applyFont="1" applyFill="1" applyBorder="1" applyAlignment="1">
      <alignment/>
    </xf>
    <xf numFmtId="0" fontId="2" fillId="39" borderId="25" xfId="33" applyFont="1" applyFill="1" applyBorder="1" applyAlignment="1">
      <alignment/>
    </xf>
    <xf numFmtId="2" fontId="2" fillId="39" borderId="25" xfId="33" applyNumberFormat="1" applyFont="1" applyFill="1" applyBorder="1" applyAlignment="1">
      <alignment/>
    </xf>
    <xf numFmtId="0" fontId="2" fillId="39" borderId="29" xfId="33" applyFont="1" applyFill="1" applyBorder="1" applyAlignment="1">
      <alignment/>
    </xf>
    <xf numFmtId="0" fontId="2" fillId="39" borderId="26" xfId="33" applyFont="1" applyFill="1" applyBorder="1" applyAlignment="1">
      <alignment/>
    </xf>
    <xf numFmtId="15" fontId="0" fillId="39" borderId="22" xfId="33" applyNumberFormat="1" applyFont="1" applyFill="1" applyBorder="1" applyAlignment="1">
      <alignment/>
    </xf>
    <xf numFmtId="0" fontId="0" fillId="39" borderId="0" xfId="33" applyFont="1" applyFill="1" applyAlignment="1">
      <alignment/>
    </xf>
    <xf numFmtId="2" fontId="0" fillId="39" borderId="0" xfId="33" applyNumberFormat="1" applyFont="1" applyFill="1" applyAlignment="1">
      <alignment/>
    </xf>
    <xf numFmtId="164" fontId="0" fillId="39" borderId="0" xfId="52" applyFont="1" applyFill="1" applyAlignment="1">
      <alignment/>
    </xf>
    <xf numFmtId="164" fontId="0" fillId="39" borderId="27" xfId="52" applyFont="1" applyFill="1" applyBorder="1" applyAlignment="1">
      <alignment/>
    </xf>
    <xf numFmtId="4" fontId="14" fillId="39" borderId="0" xfId="33" applyNumberFormat="1" applyFont="1" applyFill="1" applyAlignment="1">
      <alignment/>
    </xf>
    <xf numFmtId="164" fontId="2" fillId="39" borderId="0" xfId="52" applyFont="1" applyFill="1" applyAlignment="1">
      <alignment/>
    </xf>
    <xf numFmtId="17" fontId="15" fillId="0" borderId="0" xfId="33" applyNumberFormat="1" applyFont="1" applyAlignment="1">
      <alignment/>
    </xf>
    <xf numFmtId="0" fontId="0" fillId="35" borderId="0" xfId="33" applyFont="1" applyFill="1" applyAlignment="1">
      <alignment/>
    </xf>
    <xf numFmtId="0" fontId="11" fillId="33" borderId="18" xfId="33" applyFont="1" applyFill="1" applyBorder="1" applyAlignment="1">
      <alignment horizontal="center"/>
    </xf>
    <xf numFmtId="0" fontId="11" fillId="33" borderId="18" xfId="33" applyFont="1" applyFill="1" applyBorder="1" applyAlignment="1">
      <alignment horizontal="center" vertical="distributed"/>
    </xf>
    <xf numFmtId="0" fontId="3" fillId="33" borderId="18" xfId="33" applyFont="1" applyFill="1" applyBorder="1" applyAlignment="1">
      <alignment horizontal="center" vertical="distributed"/>
    </xf>
    <xf numFmtId="3" fontId="11" fillId="33" borderId="18" xfId="33" applyNumberFormat="1" applyFont="1" applyFill="1" applyBorder="1" applyAlignment="1">
      <alignment horizontal="center"/>
    </xf>
    <xf numFmtId="0" fontId="11" fillId="33" borderId="18" xfId="33" applyFont="1" applyFill="1" applyBorder="1" applyAlignment="1">
      <alignment horizontal="center" vertical="center"/>
    </xf>
    <xf numFmtId="15" fontId="11" fillId="33" borderId="18" xfId="33" applyNumberFormat="1" applyFont="1" applyFill="1" applyBorder="1" applyAlignment="1">
      <alignment horizontal="center" vertical="center"/>
    </xf>
    <xf numFmtId="0" fontId="11" fillId="33" borderId="20" xfId="33" applyFont="1" applyFill="1" applyBorder="1" applyAlignment="1">
      <alignment horizontal="center" vertical="center" wrapText="1"/>
    </xf>
    <xf numFmtId="3" fontId="11" fillId="33" borderId="18" xfId="33" applyNumberFormat="1" applyFont="1" applyFill="1" applyBorder="1" applyAlignment="1">
      <alignment horizontal="center" wrapText="1"/>
    </xf>
    <xf numFmtId="3" fontId="11" fillId="33" borderId="20" xfId="33" applyNumberFormat="1" applyFont="1" applyFill="1" applyBorder="1" applyAlignment="1">
      <alignment horizontal="center" vertical="center" wrapText="1"/>
    </xf>
    <xf numFmtId="3" fontId="11" fillId="33" borderId="40" xfId="33" applyNumberFormat="1" applyFont="1" applyFill="1" applyBorder="1" applyAlignment="1">
      <alignment horizontal="center" vertical="center" wrapText="1"/>
    </xf>
    <xf numFmtId="0" fontId="0" fillId="33" borderId="0" xfId="35" applyFont="1" applyFill="1" applyAlignment="1">
      <alignment/>
    </xf>
    <xf numFmtId="0" fontId="0" fillId="0" borderId="17" xfId="35" applyFont="1" applyBorder="1" applyAlignment="1">
      <alignment/>
    </xf>
    <xf numFmtId="0" fontId="0" fillId="33" borderId="14" xfId="35" applyFont="1" applyFill="1" applyBorder="1" applyAlignment="1">
      <alignment/>
    </xf>
    <xf numFmtId="0" fontId="0" fillId="0" borderId="14" xfId="35" applyFont="1" applyBorder="1" applyAlignment="1">
      <alignment/>
    </xf>
    <xf numFmtId="0" fontId="0" fillId="33" borderId="15" xfId="35" applyFont="1" applyFill="1" applyBorder="1" applyAlignment="1">
      <alignment/>
    </xf>
    <xf numFmtId="0" fontId="0" fillId="33" borderId="16" xfId="35" applyFont="1" applyFill="1" applyBorder="1" applyAlignment="1">
      <alignment/>
    </xf>
    <xf numFmtId="17" fontId="0" fillId="0" borderId="0" xfId="0" applyNumberFormat="1" applyAlignment="1">
      <alignment/>
    </xf>
    <xf numFmtId="0" fontId="10" fillId="40" borderId="20" xfId="33" applyFont="1" applyFill="1" applyBorder="1" applyAlignment="1">
      <alignment horizontal="center"/>
    </xf>
    <xf numFmtId="0" fontId="10" fillId="40" borderId="41" xfId="33" applyFont="1" applyFill="1" applyBorder="1" applyAlignment="1">
      <alignment horizontal="center"/>
    </xf>
    <xf numFmtId="0" fontId="4" fillId="0" borderId="10" xfId="33" applyFont="1" applyFill="1" applyBorder="1" applyAlignment="1">
      <alignment/>
    </xf>
    <xf numFmtId="0" fontId="2" fillId="0" borderId="0" xfId="34" applyFont="1" applyAlignment="1">
      <alignment/>
    </xf>
    <xf numFmtId="0" fontId="0" fillId="33" borderId="0" xfId="34" applyFont="1" applyFill="1" applyAlignment="1">
      <alignment/>
    </xf>
    <xf numFmtId="0" fontId="2" fillId="36" borderId="0" xfId="34" applyFont="1" applyFill="1" applyAlignment="1">
      <alignment horizontal="center"/>
    </xf>
    <xf numFmtId="0" fontId="2" fillId="0" borderId="0" xfId="34" applyFont="1" applyAlignment="1">
      <alignment horizontal="center"/>
    </xf>
    <xf numFmtId="0" fontId="2" fillId="36" borderId="0" xfId="34" applyFont="1" applyFill="1" applyAlignment="1">
      <alignment/>
    </xf>
    <xf numFmtId="15" fontId="2" fillId="36" borderId="25" xfId="34" applyNumberFormat="1" applyFont="1" applyFill="1" applyBorder="1" applyAlignment="1">
      <alignment/>
    </xf>
    <xf numFmtId="0" fontId="2" fillId="36" borderId="25" xfId="34" applyFont="1" applyFill="1" applyBorder="1" applyAlignment="1">
      <alignment/>
    </xf>
    <xf numFmtId="2" fontId="2" fillId="36" borderId="25" xfId="34" applyNumberFormat="1" applyFont="1" applyFill="1" applyBorder="1" applyAlignment="1">
      <alignment/>
    </xf>
    <xf numFmtId="0" fontId="2" fillId="36" borderId="26" xfId="34" applyFont="1" applyFill="1" applyBorder="1" applyAlignment="1">
      <alignment/>
    </xf>
    <xf numFmtId="0" fontId="0" fillId="0" borderId="21" xfId="34" applyFill="1" applyBorder="1" applyAlignment="1">
      <alignment/>
    </xf>
    <xf numFmtId="0" fontId="2" fillId="36" borderId="27" xfId="34" applyFont="1" applyFill="1" applyBorder="1" applyAlignment="1">
      <alignment/>
    </xf>
    <xf numFmtId="0" fontId="2" fillId="33" borderId="0" xfId="34" applyFont="1" applyFill="1" applyAlignment="1">
      <alignment horizontal="center"/>
    </xf>
    <xf numFmtId="167" fontId="0" fillId="0" borderId="0" xfId="52" applyNumberFormat="1" applyFont="1" applyAlignment="1">
      <alignment/>
    </xf>
    <xf numFmtId="167" fontId="0" fillId="0" borderId="0" xfId="52" applyNumberFormat="1" applyFont="1" applyFill="1" applyAlignment="1">
      <alignment/>
    </xf>
    <xf numFmtId="165" fontId="0" fillId="0" borderId="0" xfId="52" applyNumberFormat="1" applyFont="1" applyAlignment="1">
      <alignment/>
    </xf>
    <xf numFmtId="15" fontId="0" fillId="0" borderId="22" xfId="34" applyNumberFormat="1" applyFill="1" applyBorder="1" applyAlignment="1">
      <alignment/>
    </xf>
    <xf numFmtId="0" fontId="0" fillId="0" borderId="0" xfId="34" applyFill="1" applyAlignment="1">
      <alignment/>
    </xf>
    <xf numFmtId="2" fontId="0" fillId="0" borderId="0" xfId="34" applyNumberFormat="1" applyFill="1" applyAlignment="1">
      <alignment/>
    </xf>
    <xf numFmtId="0" fontId="0" fillId="0" borderId="27" xfId="34" applyFill="1" applyBorder="1" applyAlignment="1">
      <alignment/>
    </xf>
    <xf numFmtId="175" fontId="14" fillId="0" borderId="0" xfId="34" applyNumberFormat="1" applyFont="1" applyAlignment="1">
      <alignment/>
    </xf>
    <xf numFmtId="164" fontId="0" fillId="0" borderId="21" xfId="34" applyNumberFormat="1" applyFill="1" applyBorder="1" applyAlignment="1">
      <alignment/>
    </xf>
    <xf numFmtId="164" fontId="0" fillId="0" borderId="0" xfId="52" applyFont="1" applyAlignment="1">
      <alignment/>
    </xf>
    <xf numFmtId="164" fontId="0" fillId="0" borderId="27" xfId="52" applyFont="1" applyBorder="1" applyAlignment="1">
      <alignment/>
    </xf>
    <xf numFmtId="167" fontId="0" fillId="33" borderId="0" xfId="52" applyNumberFormat="1" applyFont="1" applyFill="1" applyAlignment="1">
      <alignment/>
    </xf>
    <xf numFmtId="167" fontId="0" fillId="0" borderId="0" xfId="34" applyNumberFormat="1" applyFont="1" applyAlignment="1">
      <alignment/>
    </xf>
    <xf numFmtId="164" fontId="0" fillId="0" borderId="21" xfId="52" applyFont="1" applyFill="1" applyBorder="1" applyAlignment="1">
      <alignment/>
    </xf>
    <xf numFmtId="2" fontId="0" fillId="0" borderId="0" xfId="34" applyNumberFormat="1" applyFont="1" applyAlignment="1">
      <alignment/>
    </xf>
    <xf numFmtId="1" fontId="0" fillId="0" borderId="0" xfId="34" applyNumberFormat="1" applyFont="1" applyAlignment="1">
      <alignment/>
    </xf>
    <xf numFmtId="168" fontId="0" fillId="0" borderId="0" xfId="34" applyNumberFormat="1" applyFont="1" applyAlignment="1">
      <alignment/>
    </xf>
    <xf numFmtId="174" fontId="0" fillId="0" borderId="0" xfId="34" applyNumberFormat="1" applyFont="1" applyAlignment="1">
      <alignment/>
    </xf>
    <xf numFmtId="164" fontId="0" fillId="0" borderId="0" xfId="52" applyFont="1" applyFill="1" applyAlignment="1">
      <alignment/>
    </xf>
    <xf numFmtId="0" fontId="0" fillId="37" borderId="0" xfId="34" applyFont="1" applyFill="1" applyAlignment="1">
      <alignment horizontal="left"/>
    </xf>
    <xf numFmtId="171" fontId="0" fillId="0" borderId="0" xfId="34" applyNumberFormat="1" applyFont="1" applyAlignment="1">
      <alignment/>
    </xf>
    <xf numFmtId="173" fontId="0" fillId="0" borderId="0" xfId="34" applyNumberFormat="1" applyFont="1" applyAlignment="1">
      <alignment/>
    </xf>
    <xf numFmtId="164" fontId="0" fillId="0" borderId="0" xfId="34" applyNumberFormat="1" applyFont="1" applyAlignment="1">
      <alignment/>
    </xf>
    <xf numFmtId="169" fontId="0" fillId="0" borderId="0" xfId="34" applyNumberFormat="1" applyFont="1" applyAlignment="1">
      <alignment/>
    </xf>
    <xf numFmtId="15" fontId="0" fillId="0" borderId="23" xfId="34" applyNumberFormat="1" applyFill="1" applyBorder="1" applyAlignment="1">
      <alignment/>
    </xf>
    <xf numFmtId="0" fontId="0" fillId="0" borderId="24" xfId="34" applyFill="1" applyBorder="1" applyAlignment="1">
      <alignment/>
    </xf>
    <xf numFmtId="2" fontId="0" fillId="0" borderId="24" xfId="34" applyNumberFormat="1" applyFill="1" applyBorder="1" applyAlignment="1">
      <alignment/>
    </xf>
    <xf numFmtId="0" fontId="0" fillId="0" borderId="28" xfId="34" applyFill="1" applyBorder="1" applyAlignment="1">
      <alignment/>
    </xf>
    <xf numFmtId="0" fontId="2" fillId="0" borderId="0" xfId="34" applyFont="1" applyFill="1" applyBorder="1" applyAlignment="1">
      <alignment/>
    </xf>
    <xf numFmtId="0" fontId="0" fillId="33" borderId="0" xfId="34" applyFont="1" applyFill="1" applyBorder="1" applyAlignment="1">
      <alignment/>
    </xf>
    <xf numFmtId="0" fontId="0" fillId="33" borderId="14" xfId="34" applyFont="1" applyFill="1" applyBorder="1" applyAlignment="1">
      <alignment/>
    </xf>
    <xf numFmtId="0" fontId="0" fillId="33" borderId="12" xfId="34" applyFont="1" applyFill="1" applyBorder="1" applyAlignment="1">
      <alignment/>
    </xf>
    <xf numFmtId="0" fontId="0" fillId="33" borderId="15" xfId="34" applyFont="1" applyFill="1" applyBorder="1" applyAlignment="1">
      <alignment/>
    </xf>
    <xf numFmtId="0" fontId="0" fillId="33" borderId="16" xfId="34" applyFont="1" applyFill="1" applyBorder="1" applyAlignment="1">
      <alignment/>
    </xf>
    <xf numFmtId="0" fontId="0" fillId="33" borderId="13" xfId="34" applyFont="1" applyFill="1" applyBorder="1" applyAlignment="1">
      <alignment/>
    </xf>
    <xf numFmtId="17" fontId="81" fillId="33" borderId="0" xfId="33" applyNumberFormat="1" applyFont="1" applyFill="1" applyAlignment="1">
      <alignment/>
    </xf>
    <xf numFmtId="0" fontId="81" fillId="33" borderId="0" xfId="33" applyFont="1" applyFill="1" applyAlignment="1">
      <alignment/>
    </xf>
    <xf numFmtId="10" fontId="81" fillId="33" borderId="0" xfId="58" applyNumberFormat="1" applyFont="1" applyFill="1" applyAlignment="1">
      <alignment/>
    </xf>
    <xf numFmtId="165" fontId="81" fillId="33" borderId="0" xfId="33" applyNumberFormat="1" applyFont="1" applyFill="1" applyAlignment="1">
      <alignment/>
    </xf>
    <xf numFmtId="2" fontId="81" fillId="33" borderId="0" xfId="58" applyNumberFormat="1" applyFont="1" applyFill="1" applyAlignment="1">
      <alignment/>
    </xf>
    <xf numFmtId="0" fontId="81" fillId="0" borderId="0" xfId="0" applyFont="1" applyFill="1" applyBorder="1" applyAlignment="1">
      <alignment/>
    </xf>
    <xf numFmtId="17" fontId="8" fillId="33" borderId="0" xfId="33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33" applyFont="1" applyFill="1" applyAlignment="1">
      <alignment/>
    </xf>
    <xf numFmtId="0" fontId="0" fillId="33" borderId="10" xfId="35" applyFont="1" applyFill="1" applyBorder="1" applyAlignment="1">
      <alignment/>
    </xf>
    <xf numFmtId="0" fontId="0" fillId="33" borderId="11" xfId="35" applyFont="1" applyFill="1" applyBorder="1" applyAlignment="1">
      <alignment/>
    </xf>
    <xf numFmtId="0" fontId="0" fillId="33" borderId="0" xfId="35" applyFont="1" applyFill="1" applyBorder="1" applyAlignment="1">
      <alignment/>
    </xf>
    <xf numFmtId="0" fontId="0" fillId="33" borderId="12" xfId="35" applyFont="1" applyFill="1" applyBorder="1" applyAlignment="1">
      <alignment/>
    </xf>
    <xf numFmtId="0" fontId="19" fillId="33" borderId="12" xfId="35" applyFont="1" applyFill="1" applyBorder="1" applyAlignment="1">
      <alignment horizontal="center"/>
    </xf>
    <xf numFmtId="0" fontId="20" fillId="33" borderId="12" xfId="35" applyFont="1" applyFill="1" applyBorder="1" applyAlignment="1">
      <alignment horizontal="center" vertical="center" wrapText="1"/>
    </xf>
    <xf numFmtId="0" fontId="20" fillId="33" borderId="12" xfId="35" applyFont="1" applyFill="1" applyBorder="1" applyAlignment="1">
      <alignment horizontal="center"/>
    </xf>
    <xf numFmtId="3" fontId="21" fillId="33" borderId="0" xfId="35" applyNumberFormat="1" applyFont="1" applyFill="1" applyBorder="1" applyAlignment="1">
      <alignment horizontal="center" vertical="center"/>
    </xf>
    <xf numFmtId="3" fontId="21" fillId="33" borderId="0" xfId="35" applyNumberFormat="1" applyFont="1" applyFill="1" applyBorder="1" applyAlignment="1">
      <alignment horizontal="center"/>
    </xf>
    <xf numFmtId="0" fontId="21" fillId="33" borderId="0" xfId="35" applyFont="1" applyFill="1" applyBorder="1" applyAlignment="1">
      <alignment vertical="center" wrapText="1"/>
    </xf>
    <xf numFmtId="3" fontId="21" fillId="33" borderId="0" xfId="35" applyNumberFormat="1" applyFont="1" applyFill="1" applyBorder="1" applyAlignment="1">
      <alignment vertical="center" wrapText="1"/>
    </xf>
    <xf numFmtId="0" fontId="21" fillId="33" borderId="0" xfId="35" applyFont="1" applyFill="1" applyBorder="1" applyAlignment="1">
      <alignment horizontal="center"/>
    </xf>
    <xf numFmtId="0" fontId="21" fillId="33" borderId="0" xfId="35" applyFont="1" applyFill="1" applyBorder="1" applyAlignment="1">
      <alignment vertical="center"/>
    </xf>
    <xf numFmtId="15" fontId="21" fillId="33" borderId="0" xfId="35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21" fillId="33" borderId="0" xfId="35" applyFont="1" applyFill="1" applyBorder="1" applyAlignment="1">
      <alignment horizontal="left" vertical="center" wrapText="1"/>
    </xf>
    <xf numFmtId="0" fontId="3" fillId="33" borderId="0" xfId="35" applyFont="1" applyFill="1" applyBorder="1" applyAlignment="1">
      <alignment horizontal="left"/>
    </xf>
    <xf numFmtId="0" fontId="3" fillId="33" borderId="0" xfId="35" applyFont="1" applyFill="1" applyBorder="1" applyAlignment="1">
      <alignment horizontal="center"/>
    </xf>
    <xf numFmtId="165" fontId="3" fillId="33" borderId="0" xfId="52" applyNumberFormat="1" applyFont="1" applyFill="1" applyBorder="1" applyAlignment="1">
      <alignment horizontal="center"/>
    </xf>
    <xf numFmtId="2" fontId="3" fillId="33" borderId="0" xfId="35" applyNumberFormat="1" applyFont="1" applyFill="1" applyBorder="1" applyAlignment="1">
      <alignment horizontal="center"/>
    </xf>
    <xf numFmtId="165" fontId="3" fillId="33" borderId="0" xfId="52" applyNumberFormat="1" applyFont="1" applyFill="1" applyBorder="1" applyAlignment="1">
      <alignment horizontal="left"/>
    </xf>
    <xf numFmtId="0" fontId="6" fillId="33" borderId="0" xfId="49" applyFill="1" applyBorder="1" applyAlignment="1" applyProtection="1">
      <alignment horizontal="center" vertical="center"/>
      <protection/>
    </xf>
    <xf numFmtId="0" fontId="3" fillId="33" borderId="0" xfId="35" applyFont="1" applyFill="1" applyBorder="1" applyAlignment="1">
      <alignment/>
    </xf>
    <xf numFmtId="166" fontId="21" fillId="33" borderId="12" xfId="35" applyNumberFormat="1" applyFont="1" applyFill="1" applyBorder="1" applyAlignment="1">
      <alignment horizontal="center" vertical="center" wrapText="1"/>
    </xf>
    <xf numFmtId="0" fontId="0" fillId="33" borderId="13" xfId="35" applyFont="1" applyFill="1" applyBorder="1" applyAlignment="1">
      <alignment/>
    </xf>
    <xf numFmtId="0" fontId="0" fillId="33" borderId="17" xfId="33" applyFont="1" applyFill="1" applyBorder="1" applyAlignment="1">
      <alignment/>
    </xf>
    <xf numFmtId="0" fontId="0" fillId="33" borderId="10" xfId="33" applyFont="1" applyFill="1" applyBorder="1" applyAlignment="1">
      <alignment/>
    </xf>
    <xf numFmtId="0" fontId="0" fillId="33" borderId="11" xfId="33" applyFont="1" applyFill="1" applyBorder="1" applyAlignment="1">
      <alignment/>
    </xf>
    <xf numFmtId="0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22" fillId="0" borderId="0" xfId="33" applyNumberFormat="1" applyFont="1" applyFill="1" applyBorder="1" applyAlignment="1">
      <alignment horizontal="center"/>
    </xf>
    <xf numFmtId="10" fontId="3" fillId="0" borderId="0" xfId="33" applyNumberFormat="1" applyFont="1" applyFill="1" applyBorder="1" applyAlignment="1">
      <alignment horizontal="center"/>
    </xf>
    <xf numFmtId="10" fontId="3" fillId="0" borderId="0" xfId="58" applyNumberFormat="1" applyFont="1" applyFill="1" applyBorder="1" applyAlignment="1">
      <alignment horizontal="center"/>
    </xf>
    <xf numFmtId="0" fontId="0" fillId="33" borderId="14" xfId="33" applyFont="1" applyFill="1" applyBorder="1" applyAlignment="1">
      <alignment/>
    </xf>
    <xf numFmtId="0" fontId="0" fillId="33" borderId="0" xfId="33" applyFont="1" applyFill="1" applyBorder="1" applyAlignment="1">
      <alignment/>
    </xf>
    <xf numFmtId="0" fontId="0" fillId="33" borderId="12" xfId="33" applyFont="1" applyFill="1" applyBorder="1" applyAlignment="1">
      <alignment/>
    </xf>
    <xf numFmtId="10" fontId="3" fillId="33" borderId="42" xfId="58" applyNumberFormat="1" applyFont="1" applyFill="1" applyBorder="1" applyAlignment="1">
      <alignment horizontal="center"/>
    </xf>
    <xf numFmtId="10" fontId="3" fillId="33" borderId="40" xfId="33" applyNumberFormat="1" applyFont="1" applyFill="1" applyBorder="1" applyAlignment="1">
      <alignment horizontal="center"/>
    </xf>
    <xf numFmtId="10" fontId="3" fillId="33" borderId="43" xfId="58" applyNumberFormat="1" applyFont="1" applyFill="1" applyBorder="1" applyAlignment="1">
      <alignment horizontal="center"/>
    </xf>
    <xf numFmtId="10" fontId="0" fillId="33" borderId="0" xfId="33" applyNumberFormat="1" applyFont="1" applyFill="1" applyBorder="1" applyAlignment="1">
      <alignment/>
    </xf>
    <xf numFmtId="10" fontId="22" fillId="33" borderId="36" xfId="33" applyNumberFormat="1" applyFont="1" applyFill="1" applyBorder="1" applyAlignment="1">
      <alignment horizontal="center"/>
    </xf>
    <xf numFmtId="10" fontId="3" fillId="33" borderId="40" xfId="58" applyNumberFormat="1" applyFont="1" applyFill="1" applyBorder="1" applyAlignment="1">
      <alignment horizontal="center"/>
    </xf>
    <xf numFmtId="10" fontId="22" fillId="33" borderId="44" xfId="33" applyNumberFormat="1" applyFont="1" applyFill="1" applyBorder="1" applyAlignment="1">
      <alignment horizontal="center"/>
    </xf>
    <xf numFmtId="0" fontId="0" fillId="33" borderId="15" xfId="33" applyFont="1" applyFill="1" applyBorder="1" applyAlignment="1">
      <alignment/>
    </xf>
    <xf numFmtId="0" fontId="0" fillId="33" borderId="16" xfId="33" applyFont="1" applyFill="1" applyBorder="1" applyAlignment="1">
      <alignment/>
    </xf>
    <xf numFmtId="0" fontId="0" fillId="33" borderId="13" xfId="33" applyFont="1" applyFill="1" applyBorder="1" applyAlignment="1">
      <alignment/>
    </xf>
    <xf numFmtId="0" fontId="0" fillId="41" borderId="0" xfId="33" applyFont="1" applyFill="1" applyAlignment="1">
      <alignment/>
    </xf>
    <xf numFmtId="0" fontId="0" fillId="41" borderId="0" xfId="0" applyFont="1" applyFill="1" applyAlignment="1">
      <alignment/>
    </xf>
    <xf numFmtId="0" fontId="18" fillId="33" borderId="14" xfId="33" applyFont="1" applyFill="1" applyBorder="1" applyAlignment="1">
      <alignment horizontal="center"/>
    </xf>
    <xf numFmtId="0" fontId="18" fillId="33" borderId="0" xfId="33" applyFont="1" applyFill="1" applyBorder="1" applyAlignment="1">
      <alignment horizontal="center"/>
    </xf>
    <xf numFmtId="0" fontId="18" fillId="33" borderId="12" xfId="33" applyFont="1" applyFill="1" applyBorder="1" applyAlignment="1">
      <alignment horizontal="center"/>
    </xf>
    <xf numFmtId="17" fontId="23" fillId="33" borderId="0" xfId="33" applyNumberFormat="1" applyFont="1" applyFill="1" applyBorder="1" applyAlignment="1">
      <alignment wrapText="1"/>
    </xf>
    <xf numFmtId="0" fontId="20" fillId="33" borderId="0" xfId="33" applyFont="1" applyFill="1" applyBorder="1" applyAlignment="1">
      <alignment vertical="center" wrapText="1"/>
    </xf>
    <xf numFmtId="0" fontId="20" fillId="0" borderId="0" xfId="33" applyFont="1" applyFill="1" applyBorder="1" applyAlignment="1">
      <alignment horizontal="center" vertical="center" wrapText="1"/>
    </xf>
    <xf numFmtId="0" fontId="3" fillId="33" borderId="0" xfId="33" applyFont="1" applyFill="1" applyBorder="1" applyAlignment="1">
      <alignment/>
    </xf>
    <xf numFmtId="165" fontId="3" fillId="33" borderId="44" xfId="52" applyNumberFormat="1" applyFont="1" applyFill="1" applyBorder="1" applyAlignment="1">
      <alignment horizontal="center"/>
    </xf>
    <xf numFmtId="165" fontId="3" fillId="33" borderId="45" xfId="52" applyNumberFormat="1" applyFont="1" applyFill="1" applyBorder="1" applyAlignment="1">
      <alignment horizontal="center"/>
    </xf>
    <xf numFmtId="17" fontId="0" fillId="0" borderId="0" xfId="33" applyNumberFormat="1" applyFont="1" applyFill="1" applyBorder="1" applyAlignment="1">
      <alignment/>
    </xf>
    <xf numFmtId="165" fontId="3" fillId="0" borderId="0" xfId="52" applyNumberFormat="1" applyFont="1" applyFill="1" applyBorder="1" applyAlignment="1">
      <alignment/>
    </xf>
    <xf numFmtId="2" fontId="3" fillId="0" borderId="0" xfId="58" applyNumberFormat="1" applyFont="1" applyFill="1" applyBorder="1" applyAlignment="1">
      <alignment horizontal="right"/>
    </xf>
    <xf numFmtId="165" fontId="3" fillId="33" borderId="0" xfId="52" applyNumberFormat="1" applyFont="1" applyFill="1" applyBorder="1" applyAlignment="1">
      <alignment/>
    </xf>
    <xf numFmtId="2" fontId="3" fillId="33" borderId="0" xfId="58" applyNumberFormat="1" applyFont="1" applyFill="1" applyBorder="1" applyAlignment="1">
      <alignment horizontal="right"/>
    </xf>
    <xf numFmtId="2" fontId="3" fillId="33" borderId="0" xfId="33" applyNumberFormat="1" applyFont="1" applyFill="1" applyBorder="1" applyAlignment="1">
      <alignment horizontal="right"/>
    </xf>
    <xf numFmtId="2" fontId="3" fillId="0" borderId="0" xfId="33" applyNumberFormat="1" applyFont="1" applyFill="1" applyBorder="1" applyAlignment="1">
      <alignment horizontal="right"/>
    </xf>
    <xf numFmtId="165" fontId="0" fillId="0" borderId="0" xfId="33" applyNumberFormat="1" applyFont="1" applyFill="1" applyBorder="1" applyAlignment="1">
      <alignment/>
    </xf>
    <xf numFmtId="10" fontId="0" fillId="0" borderId="0" xfId="58" applyNumberFormat="1" applyFont="1" applyFill="1" applyBorder="1" applyAlignment="1">
      <alignment/>
    </xf>
    <xf numFmtId="2" fontId="0" fillId="0" borderId="0" xfId="58" applyNumberFormat="1" applyFont="1" applyFill="1" applyBorder="1" applyAlignment="1">
      <alignment/>
    </xf>
    <xf numFmtId="0" fontId="22" fillId="33" borderId="0" xfId="33" applyFont="1" applyFill="1" applyBorder="1" applyAlignment="1">
      <alignment horizontal="center"/>
    </xf>
    <xf numFmtId="17" fontId="23" fillId="33" borderId="0" xfId="33" applyNumberFormat="1" applyFont="1" applyFill="1" applyBorder="1" applyAlignment="1">
      <alignment horizontal="center" wrapText="1"/>
    </xf>
    <xf numFmtId="17" fontId="20" fillId="33" borderId="0" xfId="33" applyNumberFormat="1" applyFont="1" applyFill="1" applyBorder="1" applyAlignment="1">
      <alignment horizontal="center" vertical="center" wrapText="1"/>
    </xf>
    <xf numFmtId="0" fontId="20" fillId="33" borderId="0" xfId="33" applyFont="1" applyFill="1" applyBorder="1" applyAlignment="1">
      <alignment horizontal="center" vertical="center" wrapText="1"/>
    </xf>
    <xf numFmtId="165" fontId="3" fillId="33" borderId="46" xfId="52" applyNumberFormat="1" applyFont="1" applyFill="1" applyBorder="1" applyAlignment="1">
      <alignment/>
    </xf>
    <xf numFmtId="165" fontId="3" fillId="33" borderId="35" xfId="52" applyNumberFormat="1" applyFont="1" applyFill="1" applyBorder="1" applyAlignment="1">
      <alignment/>
    </xf>
    <xf numFmtId="165" fontId="3" fillId="33" borderId="0" xfId="52" applyNumberFormat="1" applyFont="1" applyFill="1" applyBorder="1" applyAlignment="1">
      <alignment/>
    </xf>
    <xf numFmtId="0" fontId="18" fillId="33" borderId="14" xfId="33" applyFont="1" applyFill="1" applyBorder="1" applyAlignment="1">
      <alignment/>
    </xf>
    <xf numFmtId="0" fontId="18" fillId="33" borderId="0" xfId="33" applyFont="1" applyFill="1" applyBorder="1" applyAlignment="1">
      <alignment/>
    </xf>
    <xf numFmtId="0" fontId="18" fillId="33" borderId="12" xfId="33" applyFont="1" applyFill="1" applyBorder="1" applyAlignment="1">
      <alignment/>
    </xf>
    <xf numFmtId="0" fontId="21" fillId="33" borderId="0" xfId="33" applyFont="1" applyFill="1" applyBorder="1" applyAlignment="1">
      <alignment vertical="center" wrapText="1"/>
    </xf>
    <xf numFmtId="0" fontId="3" fillId="33" borderId="0" xfId="33" applyFont="1" applyFill="1" applyBorder="1" applyAlignment="1">
      <alignment horizontal="left"/>
    </xf>
    <xf numFmtId="165" fontId="3" fillId="33" borderId="16" xfId="52" applyNumberFormat="1" applyFont="1" applyFill="1" applyBorder="1" applyAlignment="1">
      <alignment horizontal="right" vertical="center" wrapText="1"/>
    </xf>
    <xf numFmtId="0" fontId="21" fillId="33" borderId="16" xfId="33" applyFont="1" applyFill="1" applyBorder="1" applyAlignment="1">
      <alignment vertical="center" wrapText="1"/>
    </xf>
    <xf numFmtId="165" fontId="3" fillId="33" borderId="46" xfId="52" applyNumberFormat="1" applyFont="1" applyFill="1" applyBorder="1" applyAlignment="1">
      <alignment vertical="center"/>
    </xf>
    <xf numFmtId="165" fontId="3" fillId="33" borderId="47" xfId="52" applyNumberFormat="1" applyFont="1" applyFill="1" applyBorder="1" applyAlignment="1">
      <alignment vertical="center"/>
    </xf>
    <xf numFmtId="165" fontId="24" fillId="33" borderId="40" xfId="33" applyNumberFormat="1" applyFont="1" applyFill="1" applyBorder="1" applyAlignment="1">
      <alignment/>
    </xf>
    <xf numFmtId="164" fontId="24" fillId="33" borderId="43" xfId="33" applyNumberFormat="1" applyFont="1" applyFill="1" applyBorder="1" applyAlignment="1">
      <alignment/>
    </xf>
    <xf numFmtId="9" fontId="24" fillId="33" borderId="47" xfId="58" applyFont="1" applyFill="1" applyBorder="1" applyAlignment="1">
      <alignment/>
    </xf>
    <xf numFmtId="9" fontId="24" fillId="33" borderId="35" xfId="58" applyFont="1" applyFill="1" applyBorder="1" applyAlignment="1">
      <alignment/>
    </xf>
    <xf numFmtId="0" fontId="81" fillId="33" borderId="0" xfId="33" applyFont="1" applyFill="1" applyBorder="1" applyAlignment="1">
      <alignment/>
    </xf>
    <xf numFmtId="0" fontId="23" fillId="33" borderId="0" xfId="33" applyFont="1" applyFill="1" applyBorder="1" applyAlignment="1">
      <alignment wrapText="1"/>
    </xf>
    <xf numFmtId="0" fontId="0" fillId="33" borderId="0" xfId="33" applyFont="1" applyFill="1" applyBorder="1" applyAlignment="1">
      <alignment/>
    </xf>
    <xf numFmtId="0" fontId="3" fillId="33" borderId="0" xfId="33" applyFont="1" applyFill="1" applyBorder="1" applyAlignment="1">
      <alignment horizontal="center"/>
    </xf>
    <xf numFmtId="0" fontId="22" fillId="33" borderId="0" xfId="33" applyFont="1" applyFill="1" applyBorder="1" applyAlignment="1">
      <alignment/>
    </xf>
    <xf numFmtId="10" fontId="0" fillId="0" borderId="0" xfId="33" applyNumberFormat="1" applyFont="1" applyAlignment="1">
      <alignment/>
    </xf>
    <xf numFmtId="165" fontId="3" fillId="33" borderId="40" xfId="52" applyNumberFormat="1" applyFont="1" applyFill="1" applyBorder="1" applyAlignment="1">
      <alignment/>
    </xf>
    <xf numFmtId="164" fontId="3" fillId="33" borderId="43" xfId="52" applyFont="1" applyFill="1" applyBorder="1" applyAlignment="1">
      <alignment/>
    </xf>
    <xf numFmtId="10" fontId="0" fillId="0" borderId="0" xfId="58" applyNumberFormat="1" applyFont="1" applyAlignment="1">
      <alignment/>
    </xf>
    <xf numFmtId="0" fontId="27" fillId="33" borderId="36" xfId="33" applyFont="1" applyFill="1" applyBorder="1" applyAlignment="1">
      <alignment horizontal="left"/>
    </xf>
    <xf numFmtId="165" fontId="22" fillId="33" borderId="44" xfId="52" applyNumberFormat="1" applyFont="1" applyFill="1" applyBorder="1" applyAlignment="1">
      <alignment/>
    </xf>
    <xf numFmtId="1" fontId="3" fillId="33" borderId="0" xfId="33" applyNumberFormat="1" applyFont="1" applyFill="1" applyBorder="1" applyAlignment="1">
      <alignment/>
    </xf>
    <xf numFmtId="164" fontId="3" fillId="33" borderId="0" xfId="52" applyFont="1" applyFill="1" applyBorder="1" applyAlignment="1">
      <alignment/>
    </xf>
    <xf numFmtId="164" fontId="3" fillId="33" borderId="48" xfId="52" applyFont="1" applyFill="1" applyBorder="1" applyAlignment="1">
      <alignment/>
    </xf>
    <xf numFmtId="9" fontId="0" fillId="0" borderId="0" xfId="58" applyFont="1" applyAlignment="1">
      <alignment/>
    </xf>
    <xf numFmtId="0" fontId="22" fillId="33" borderId="36" xfId="33" applyFont="1" applyFill="1" applyBorder="1" applyAlignment="1">
      <alignment/>
    </xf>
    <xf numFmtId="0" fontId="22" fillId="33" borderId="49" xfId="33" applyFont="1" applyFill="1" applyBorder="1" applyAlignment="1">
      <alignment/>
    </xf>
    <xf numFmtId="165" fontId="22" fillId="33" borderId="37" xfId="52" applyNumberFormat="1" applyFont="1" applyFill="1" applyBorder="1" applyAlignment="1">
      <alignment/>
    </xf>
    <xf numFmtId="164" fontId="22" fillId="33" borderId="50" xfId="52" applyFont="1" applyFill="1" applyBorder="1" applyAlignment="1">
      <alignment/>
    </xf>
    <xf numFmtId="0" fontId="28" fillId="33" borderId="0" xfId="33" applyFont="1" applyFill="1" applyBorder="1" applyAlignment="1">
      <alignment vertical="center" wrapText="1"/>
    </xf>
    <xf numFmtId="0" fontId="0" fillId="33" borderId="17" xfId="34" applyFont="1" applyFill="1" applyBorder="1" applyAlignment="1">
      <alignment/>
    </xf>
    <xf numFmtId="0" fontId="0" fillId="33" borderId="10" xfId="34" applyFont="1" applyFill="1" applyBorder="1" applyAlignment="1">
      <alignment/>
    </xf>
    <xf numFmtId="0" fontId="0" fillId="33" borderId="11" xfId="34" applyFont="1" applyFill="1" applyBorder="1" applyAlignment="1">
      <alignment/>
    </xf>
    <xf numFmtId="0" fontId="25" fillId="33" borderId="14" xfId="34" applyFont="1" applyFill="1" applyBorder="1" applyAlignment="1">
      <alignment horizontal="center"/>
    </xf>
    <xf numFmtId="0" fontId="25" fillId="33" borderId="0" xfId="34" applyFont="1" applyFill="1" applyBorder="1" applyAlignment="1">
      <alignment horizontal="center"/>
    </xf>
    <xf numFmtId="0" fontId="25" fillId="33" borderId="12" xfId="34" applyFont="1" applyFill="1" applyBorder="1" applyAlignment="1">
      <alignment horizontal="center"/>
    </xf>
    <xf numFmtId="0" fontId="26" fillId="33" borderId="30" xfId="34" applyFont="1" applyFill="1" applyBorder="1" applyAlignment="1">
      <alignment/>
    </xf>
    <xf numFmtId="164" fontId="3" fillId="33" borderId="32" xfId="52" applyFont="1" applyFill="1" applyBorder="1" applyAlignment="1">
      <alignment/>
    </xf>
    <xf numFmtId="0" fontId="26" fillId="33" borderId="51" xfId="34" applyFont="1" applyFill="1" applyBorder="1" applyAlignment="1">
      <alignment/>
    </xf>
    <xf numFmtId="164" fontId="22" fillId="33" borderId="0" xfId="52" applyFont="1" applyFill="1" applyBorder="1" applyAlignment="1">
      <alignment/>
    </xf>
    <xf numFmtId="177" fontId="22" fillId="33" borderId="0" xfId="52" applyNumberFormat="1" applyFont="1" applyFill="1" applyBorder="1" applyAlignment="1">
      <alignment/>
    </xf>
    <xf numFmtId="2" fontId="22" fillId="33" borderId="0" xfId="58" applyNumberFormat="1" applyFont="1" applyFill="1" applyBorder="1" applyAlignment="1">
      <alignment horizontal="right"/>
    </xf>
    <xf numFmtId="1" fontId="22" fillId="33" borderId="0" xfId="34" applyNumberFormat="1" applyFont="1" applyFill="1" applyBorder="1" applyAlignment="1">
      <alignment/>
    </xf>
    <xf numFmtId="0" fontId="27" fillId="33" borderId="0" xfId="34" applyFont="1" applyFill="1" applyBorder="1" applyAlignment="1">
      <alignment/>
    </xf>
    <xf numFmtId="165" fontId="22" fillId="33" borderId="0" xfId="52" applyNumberFormat="1" applyFont="1" applyFill="1" applyBorder="1" applyAlignment="1">
      <alignment/>
    </xf>
    <xf numFmtId="164" fontId="3" fillId="33" borderId="40" xfId="52" applyFont="1" applyFill="1" applyBorder="1" applyAlignment="1">
      <alignment/>
    </xf>
    <xf numFmtId="0" fontId="28" fillId="33" borderId="0" xfId="34" applyFont="1" applyFill="1" applyBorder="1" applyAlignment="1">
      <alignment vertical="center" wrapText="1"/>
    </xf>
    <xf numFmtId="164" fontId="22" fillId="33" borderId="49" xfId="52" applyFont="1" applyFill="1" applyBorder="1" applyAlignment="1">
      <alignment/>
    </xf>
    <xf numFmtId="0" fontId="21" fillId="33" borderId="0" xfId="34" applyFont="1" applyFill="1" applyBorder="1" applyAlignment="1">
      <alignment vertical="center" wrapText="1"/>
    </xf>
    <xf numFmtId="1" fontId="3" fillId="33" borderId="0" xfId="34" applyNumberFormat="1" applyFont="1" applyFill="1" applyBorder="1" applyAlignment="1">
      <alignment/>
    </xf>
    <xf numFmtId="0" fontId="2" fillId="33" borderId="14" xfId="34" applyFont="1" applyFill="1" applyBorder="1" applyAlignment="1">
      <alignment/>
    </xf>
    <xf numFmtId="0" fontId="2" fillId="33" borderId="14" xfId="34" applyFont="1" applyFill="1" applyBorder="1" applyAlignment="1">
      <alignment horizontal="left" vertical="top"/>
    </xf>
    <xf numFmtId="0" fontId="0" fillId="33" borderId="12" xfId="34" applyFont="1" applyFill="1" applyBorder="1" applyAlignment="1">
      <alignment vertical="justify" wrapText="1"/>
    </xf>
    <xf numFmtId="0" fontId="0" fillId="33" borderId="14" xfId="34" applyFont="1" applyFill="1" applyBorder="1" applyAlignment="1">
      <alignment horizontal="left" vertical="center"/>
    </xf>
    <xf numFmtId="0" fontId="0" fillId="33" borderId="0" xfId="34" applyFont="1" applyFill="1" applyBorder="1" applyAlignment="1">
      <alignment horizontal="left" wrapText="1"/>
    </xf>
    <xf numFmtId="0" fontId="0" fillId="33" borderId="12" xfId="34" applyFont="1" applyFill="1" applyBorder="1" applyAlignment="1">
      <alignment horizontal="left" wrapText="1"/>
    </xf>
    <xf numFmtId="0" fontId="30" fillId="33" borderId="51" xfId="34" applyNumberFormat="1" applyFont="1" applyFill="1" applyBorder="1" applyAlignment="1">
      <alignment horizontal="center"/>
    </xf>
    <xf numFmtId="3" fontId="31" fillId="33" borderId="40" xfId="34" applyNumberFormat="1" applyFont="1" applyFill="1" applyBorder="1" applyAlignment="1">
      <alignment horizontal="right"/>
    </xf>
    <xf numFmtId="2" fontId="31" fillId="33" borderId="0" xfId="34" applyNumberFormat="1" applyFont="1" applyFill="1" applyBorder="1" applyAlignment="1">
      <alignment horizontal="center"/>
    </xf>
    <xf numFmtId="2" fontId="3" fillId="33" borderId="48" xfId="34" applyNumberFormat="1" applyFont="1" applyFill="1" applyBorder="1" applyAlignment="1">
      <alignment horizontal="center"/>
    </xf>
    <xf numFmtId="10" fontId="0" fillId="33" borderId="0" xfId="58" applyNumberFormat="1" applyFont="1" applyFill="1" applyAlignment="1">
      <alignment/>
    </xf>
    <xf numFmtId="0" fontId="30" fillId="33" borderId="52" xfId="34" applyNumberFormat="1" applyFont="1" applyFill="1" applyBorder="1" applyAlignment="1">
      <alignment horizontal="center"/>
    </xf>
    <xf numFmtId="3" fontId="31" fillId="33" borderId="53" xfId="34" applyNumberFormat="1" applyFont="1" applyFill="1" applyBorder="1" applyAlignment="1">
      <alignment horizontal="right"/>
    </xf>
    <xf numFmtId="2" fontId="31" fillId="33" borderId="53" xfId="34" applyNumberFormat="1" applyFont="1" applyFill="1" applyBorder="1" applyAlignment="1">
      <alignment horizontal="center"/>
    </xf>
    <xf numFmtId="2" fontId="3" fillId="33" borderId="54" xfId="34" applyNumberFormat="1" applyFont="1" applyFill="1" applyBorder="1" applyAlignment="1">
      <alignment horizontal="center"/>
    </xf>
    <xf numFmtId="2" fontId="0" fillId="33" borderId="0" xfId="34" applyNumberFormat="1" applyFont="1" applyFill="1" applyAlignment="1">
      <alignment/>
    </xf>
    <xf numFmtId="0" fontId="30" fillId="33" borderId="55" xfId="34" applyNumberFormat="1" applyFont="1" applyFill="1" applyBorder="1" applyAlignment="1">
      <alignment horizontal="center"/>
    </xf>
    <xf numFmtId="3" fontId="31" fillId="33" borderId="56" xfId="34" applyNumberFormat="1" applyFont="1" applyFill="1" applyBorder="1" applyAlignment="1">
      <alignment horizontal="right"/>
    </xf>
    <xf numFmtId="4" fontId="31" fillId="33" borderId="56" xfId="34" applyNumberFormat="1" applyFont="1" applyFill="1" applyBorder="1" applyAlignment="1">
      <alignment horizontal="center"/>
    </xf>
    <xf numFmtId="4" fontId="31" fillId="33" borderId="57" xfId="34" applyNumberFormat="1" applyFont="1" applyFill="1" applyBorder="1" applyAlignment="1">
      <alignment horizontal="center"/>
    </xf>
    <xf numFmtId="2" fontId="0" fillId="33" borderId="0" xfId="34" applyNumberFormat="1" applyFont="1" applyFill="1" applyBorder="1" applyAlignment="1">
      <alignment/>
    </xf>
    <xf numFmtId="3" fontId="0" fillId="33" borderId="0" xfId="34" applyNumberFormat="1" applyFont="1" applyFill="1" applyAlignment="1">
      <alignment/>
    </xf>
    <xf numFmtId="0" fontId="0" fillId="33" borderId="0" xfId="33" applyFont="1" applyFill="1" applyBorder="1" applyAlignment="1">
      <alignment horizontal="center"/>
    </xf>
    <xf numFmtId="0" fontId="0" fillId="42" borderId="17" xfId="33" applyFont="1" applyFill="1" applyBorder="1" applyAlignment="1">
      <alignment/>
    </xf>
    <xf numFmtId="0" fontId="0" fillId="42" borderId="10" xfId="33" applyFont="1" applyFill="1" applyBorder="1" applyAlignment="1">
      <alignment/>
    </xf>
    <xf numFmtId="0" fontId="0" fillId="42" borderId="11" xfId="33" applyFont="1" applyFill="1" applyBorder="1" applyAlignment="1">
      <alignment/>
    </xf>
    <xf numFmtId="0" fontId="0" fillId="42" borderId="14" xfId="33" applyFont="1" applyFill="1" applyBorder="1" applyAlignment="1">
      <alignment/>
    </xf>
    <xf numFmtId="0" fontId="0" fillId="42" borderId="0" xfId="33" applyFont="1" applyFill="1" applyBorder="1" applyAlignment="1">
      <alignment/>
    </xf>
    <xf numFmtId="0" fontId="0" fillId="42" borderId="12" xfId="33" applyFont="1" applyFill="1" applyBorder="1" applyAlignment="1">
      <alignment/>
    </xf>
    <xf numFmtId="0" fontId="0" fillId="43" borderId="14" xfId="33" applyFont="1" applyFill="1" applyBorder="1" applyAlignment="1">
      <alignment/>
    </xf>
    <xf numFmtId="0" fontId="0" fillId="43" borderId="0" xfId="33" applyFont="1" applyFill="1" applyBorder="1" applyAlignment="1">
      <alignment/>
    </xf>
    <xf numFmtId="0" fontId="0" fillId="43" borderId="12" xfId="33" applyFont="1" applyFill="1" applyBorder="1" applyAlignment="1">
      <alignment/>
    </xf>
    <xf numFmtId="0" fontId="0" fillId="42" borderId="15" xfId="33" applyFont="1" applyFill="1" applyBorder="1" applyAlignment="1">
      <alignment/>
    </xf>
    <xf numFmtId="0" fontId="0" fillId="42" borderId="16" xfId="33" applyFont="1" applyFill="1" applyBorder="1" applyAlignment="1">
      <alignment/>
    </xf>
    <xf numFmtId="0" fontId="0" fillId="42" borderId="13" xfId="33" applyFont="1" applyFill="1" applyBorder="1" applyAlignment="1">
      <alignment/>
    </xf>
    <xf numFmtId="0" fontId="23" fillId="42" borderId="36" xfId="34" applyFont="1" applyFill="1" applyBorder="1" applyAlignment="1">
      <alignment horizontal="center" vertical="center"/>
    </xf>
    <xf numFmtId="0" fontId="23" fillId="42" borderId="44" xfId="34" applyFont="1" applyFill="1" applyBorder="1" applyAlignment="1">
      <alignment horizontal="center" vertical="center" wrapText="1"/>
    </xf>
    <xf numFmtId="0" fontId="23" fillId="42" borderId="37" xfId="34" applyFont="1" applyFill="1" applyBorder="1" applyAlignment="1">
      <alignment horizontal="center" vertical="center" wrapText="1"/>
    </xf>
    <xf numFmtId="0" fontId="23" fillId="42" borderId="50" xfId="34" applyFont="1" applyFill="1" applyBorder="1" applyAlignment="1">
      <alignment horizontal="center" vertical="center" wrapText="1"/>
    </xf>
    <xf numFmtId="0" fontId="23" fillId="42" borderId="30" xfId="34" applyFont="1" applyFill="1" applyBorder="1" applyAlignment="1">
      <alignment horizontal="center" vertical="center"/>
    </xf>
    <xf numFmtId="0" fontId="23" fillId="42" borderId="58" xfId="34" applyFont="1" applyFill="1" applyBorder="1" applyAlignment="1">
      <alignment horizontal="center" vertical="center" wrapText="1"/>
    </xf>
    <xf numFmtId="0" fontId="23" fillId="42" borderId="31" xfId="34" applyFont="1" applyFill="1" applyBorder="1" applyAlignment="1">
      <alignment horizontal="center" vertical="center" wrapText="1"/>
    </xf>
    <xf numFmtId="0" fontId="23" fillId="42" borderId="59" xfId="34" applyFont="1" applyFill="1" applyBorder="1" applyAlignment="1">
      <alignment horizontal="center" vertical="center" wrapText="1"/>
    </xf>
    <xf numFmtId="0" fontId="23" fillId="42" borderId="32" xfId="34" applyFont="1" applyFill="1" applyBorder="1" applyAlignment="1">
      <alignment horizontal="center" vertical="center" wrapText="1"/>
    </xf>
    <xf numFmtId="0" fontId="23" fillId="42" borderId="38" xfId="34" applyFont="1" applyFill="1" applyBorder="1" applyAlignment="1">
      <alignment horizontal="center" vertical="center" wrapText="1"/>
    </xf>
    <xf numFmtId="0" fontId="23" fillId="42" borderId="44" xfId="33" applyFont="1" applyFill="1" applyBorder="1" applyAlignment="1">
      <alignment horizontal="center" vertical="center" wrapText="1"/>
    </xf>
    <xf numFmtId="0" fontId="23" fillId="42" borderId="38" xfId="33" applyFont="1" applyFill="1" applyBorder="1" applyAlignment="1">
      <alignment horizontal="center" vertical="center" wrapText="1"/>
    </xf>
    <xf numFmtId="0" fontId="23" fillId="42" borderId="18" xfId="33" applyFont="1" applyFill="1" applyBorder="1" applyAlignment="1">
      <alignment horizontal="center" vertical="center" wrapText="1"/>
    </xf>
    <xf numFmtId="0" fontId="23" fillId="42" borderId="60" xfId="33" applyFont="1" applyFill="1" applyBorder="1" applyAlignment="1">
      <alignment horizontal="center" vertical="center" wrapText="1"/>
    </xf>
    <xf numFmtId="0" fontId="23" fillId="42" borderId="61" xfId="33" applyFont="1" applyFill="1" applyBorder="1" applyAlignment="1">
      <alignment horizontal="center" vertical="center" wrapText="1"/>
    </xf>
    <xf numFmtId="0" fontId="20" fillId="42" borderId="47" xfId="33" applyFont="1" applyFill="1" applyBorder="1" applyAlignment="1">
      <alignment horizontal="center" vertical="center" wrapText="1"/>
    </xf>
    <xf numFmtId="0" fontId="20" fillId="42" borderId="37" xfId="33" applyFont="1" applyFill="1" applyBorder="1" applyAlignment="1">
      <alignment horizontal="center" vertical="center" wrapText="1"/>
    </xf>
    <xf numFmtId="0" fontId="20" fillId="42" borderId="47" xfId="33" applyFont="1" applyFill="1" applyBorder="1" applyAlignment="1">
      <alignment horizontal="center" vertical="center"/>
    </xf>
    <xf numFmtId="0" fontId="20" fillId="42" borderId="38" xfId="33" applyFont="1" applyFill="1" applyBorder="1" applyAlignment="1">
      <alignment horizontal="center" vertical="center" wrapText="1"/>
    </xf>
    <xf numFmtId="0" fontId="19" fillId="42" borderId="44" xfId="33" applyFont="1" applyFill="1" applyBorder="1" applyAlignment="1">
      <alignment horizontal="center"/>
    </xf>
    <xf numFmtId="0" fontId="19" fillId="42" borderId="50" xfId="33" applyFont="1" applyFill="1" applyBorder="1" applyAlignment="1">
      <alignment horizontal="center"/>
    </xf>
    <xf numFmtId="0" fontId="20" fillId="42" borderId="44" xfId="33" applyFont="1" applyFill="1" applyBorder="1" applyAlignment="1">
      <alignment horizontal="center" vertical="center" wrapText="1"/>
    </xf>
    <xf numFmtId="17" fontId="20" fillId="42" borderId="50" xfId="33" applyNumberFormat="1" applyFont="1" applyFill="1" applyBorder="1" applyAlignment="1">
      <alignment horizontal="center" vertical="center" wrapText="1"/>
    </xf>
    <xf numFmtId="17" fontId="20" fillId="42" borderId="44" xfId="33" applyNumberFormat="1" applyFont="1" applyFill="1" applyBorder="1" applyAlignment="1">
      <alignment horizontal="center" vertical="center" wrapText="1"/>
    </xf>
    <xf numFmtId="0" fontId="23" fillId="42" borderId="62" xfId="33" applyFont="1" applyFill="1" applyBorder="1" applyAlignment="1">
      <alignment horizontal="center" vertical="center" wrapText="1"/>
    </xf>
    <xf numFmtId="0" fontId="23" fillId="42" borderId="58" xfId="33" applyFont="1" applyFill="1" applyBorder="1" applyAlignment="1">
      <alignment horizontal="center" vertical="center" wrapText="1"/>
    </xf>
    <xf numFmtId="0" fontId="23" fillId="42" borderId="32" xfId="33" applyFont="1" applyFill="1" applyBorder="1" applyAlignment="1">
      <alignment horizontal="center" vertical="center" wrapText="1"/>
    </xf>
    <xf numFmtId="0" fontId="23" fillId="42" borderId="63" xfId="33" applyFont="1" applyFill="1" applyBorder="1" applyAlignment="1">
      <alignment horizontal="center" vertical="center" wrapText="1"/>
    </xf>
    <xf numFmtId="0" fontId="20" fillId="42" borderId="18" xfId="35" applyFont="1" applyFill="1" applyBorder="1" applyAlignment="1">
      <alignment horizontal="center"/>
    </xf>
    <xf numFmtId="15" fontId="21" fillId="33" borderId="0" xfId="35" applyNumberFormat="1" applyFont="1" applyFill="1" applyBorder="1" applyAlignment="1">
      <alignment horizontal="center" vertical="center"/>
    </xf>
    <xf numFmtId="0" fontId="21" fillId="33" borderId="0" xfId="35" applyFont="1" applyFill="1" applyBorder="1" applyAlignment="1">
      <alignment horizontal="center" vertical="center" wrapText="1"/>
    </xf>
    <xf numFmtId="3" fontId="21" fillId="33" borderId="0" xfId="35" applyNumberFormat="1" applyFont="1" applyFill="1" applyBorder="1" applyAlignment="1">
      <alignment horizontal="center" vertical="center" wrapText="1"/>
    </xf>
    <xf numFmtId="0" fontId="21" fillId="33" borderId="0" xfId="35" applyFont="1" applyFill="1" applyBorder="1" applyAlignment="1">
      <alignment horizontal="center" vertical="center"/>
    </xf>
    <xf numFmtId="0" fontId="24" fillId="33" borderId="0" xfId="35" applyFont="1" applyFill="1" applyBorder="1" applyAlignment="1">
      <alignment horizontal="left"/>
    </xf>
    <xf numFmtId="0" fontId="24" fillId="33" borderId="0" xfId="35" applyFont="1" applyFill="1" applyBorder="1" applyAlignment="1">
      <alignment horizontal="center"/>
    </xf>
    <xf numFmtId="165" fontId="24" fillId="33" borderId="0" xfId="52" applyNumberFormat="1" applyFont="1" applyFill="1" applyBorder="1" applyAlignment="1">
      <alignment horizontal="center"/>
    </xf>
    <xf numFmtId="165" fontId="24" fillId="33" borderId="0" xfId="52" applyNumberFormat="1" applyFont="1" applyFill="1" applyBorder="1" applyAlignment="1">
      <alignment horizontal="left"/>
    </xf>
    <xf numFmtId="0" fontId="82" fillId="33" borderId="0" xfId="34" applyFont="1" applyFill="1" applyAlignment="1">
      <alignment/>
    </xf>
    <xf numFmtId="0" fontId="81" fillId="33" borderId="14" xfId="33" applyFont="1" applyFill="1" applyBorder="1" applyAlignment="1">
      <alignment/>
    </xf>
    <xf numFmtId="0" fontId="81" fillId="33" borderId="12" xfId="33" applyFont="1" applyFill="1" applyBorder="1" applyAlignment="1">
      <alignment/>
    </xf>
    <xf numFmtId="0" fontId="81" fillId="0" borderId="0" xfId="33" applyFont="1" applyAlignment="1">
      <alignment/>
    </xf>
    <xf numFmtId="10" fontId="81" fillId="0" borderId="0" xfId="58" applyNumberFormat="1" applyFont="1" applyAlignment="1">
      <alignment/>
    </xf>
    <xf numFmtId="10" fontId="81" fillId="0" borderId="0" xfId="33" applyNumberFormat="1" applyFont="1" applyAlignment="1">
      <alignment/>
    </xf>
    <xf numFmtId="0" fontId="81" fillId="0" borderId="0" xfId="0" applyFont="1" applyAlignment="1">
      <alignment/>
    </xf>
    <xf numFmtId="9" fontId="81" fillId="0" borderId="0" xfId="58" applyFont="1" applyAlignment="1">
      <alignment/>
    </xf>
    <xf numFmtId="0" fontId="26" fillId="33" borderId="51" xfId="33" applyFont="1" applyFill="1" applyBorder="1" applyAlignment="1">
      <alignment horizontal="left"/>
    </xf>
    <xf numFmtId="2" fontId="22" fillId="33" borderId="44" xfId="58" applyNumberFormat="1" applyFont="1" applyFill="1" applyBorder="1" applyAlignment="1">
      <alignment horizontal="right"/>
    </xf>
    <xf numFmtId="2" fontId="3" fillId="33" borderId="35" xfId="58" applyNumberFormat="1" applyFont="1" applyFill="1" applyBorder="1" applyAlignment="1">
      <alignment horizontal="right" vertical="center"/>
    </xf>
    <xf numFmtId="0" fontId="83" fillId="33" borderId="64" xfId="33" applyFont="1" applyFill="1" applyBorder="1" applyAlignment="1">
      <alignment/>
    </xf>
    <xf numFmtId="165" fontId="83" fillId="33" borderId="0" xfId="52" applyNumberFormat="1" applyFont="1" applyFill="1" applyBorder="1" applyAlignment="1">
      <alignment/>
    </xf>
    <xf numFmtId="2" fontId="83" fillId="33" borderId="40" xfId="58" applyNumberFormat="1" applyFont="1" applyFill="1" applyBorder="1" applyAlignment="1">
      <alignment horizontal="right"/>
    </xf>
    <xf numFmtId="164" fontId="83" fillId="33" borderId="48" xfId="52" applyFont="1" applyFill="1" applyBorder="1" applyAlignment="1">
      <alignment/>
    </xf>
    <xf numFmtId="165" fontId="83" fillId="33" borderId="47" xfId="52" applyNumberFormat="1" applyFont="1" applyFill="1" applyBorder="1" applyAlignment="1">
      <alignment vertical="center"/>
    </xf>
    <xf numFmtId="2" fontId="83" fillId="33" borderId="35" xfId="58" applyNumberFormat="1" applyFont="1" applyFill="1" applyBorder="1" applyAlignment="1">
      <alignment horizontal="right" vertical="center"/>
    </xf>
    <xf numFmtId="179" fontId="22" fillId="33" borderId="65" xfId="33" applyNumberFormat="1" applyFont="1" applyFill="1" applyBorder="1" applyAlignment="1">
      <alignment horizontal="center"/>
    </xf>
    <xf numFmtId="0" fontId="23" fillId="42" borderId="37" xfId="33" applyFont="1" applyFill="1" applyBorder="1" applyAlignment="1">
      <alignment horizontal="center" vertical="center" wrapText="1"/>
    </xf>
    <xf numFmtId="0" fontId="18" fillId="0" borderId="10" xfId="34" applyFont="1" applyFill="1" applyBorder="1" applyAlignment="1">
      <alignment horizontal="center"/>
    </xf>
    <xf numFmtId="0" fontId="18" fillId="0" borderId="11" xfId="34" applyFont="1" applyFill="1" applyBorder="1" applyAlignment="1">
      <alignment horizontal="center"/>
    </xf>
    <xf numFmtId="0" fontId="26" fillId="33" borderId="32" xfId="34" applyFont="1" applyFill="1" applyBorder="1" applyAlignment="1">
      <alignment/>
    </xf>
    <xf numFmtId="0" fontId="26" fillId="33" borderId="43" xfId="34" applyFont="1" applyFill="1" applyBorder="1" applyAlignment="1">
      <alignment/>
    </xf>
    <xf numFmtId="0" fontId="23" fillId="42" borderId="66" xfId="34" applyFont="1" applyFill="1" applyBorder="1" applyAlignment="1">
      <alignment horizontal="center" vertical="center" wrapText="1"/>
    </xf>
    <xf numFmtId="165" fontId="3" fillId="33" borderId="66" xfId="52" applyNumberFormat="1" applyFont="1" applyFill="1" applyBorder="1" applyAlignment="1">
      <alignment/>
    </xf>
    <xf numFmtId="165" fontId="3" fillId="33" borderId="67" xfId="52" applyNumberFormat="1" applyFont="1" applyFill="1" applyBorder="1" applyAlignment="1">
      <alignment/>
    </xf>
    <xf numFmtId="164" fontId="3" fillId="33" borderId="66" xfId="52" applyFont="1" applyFill="1" applyBorder="1" applyAlignment="1">
      <alignment/>
    </xf>
    <xf numFmtId="164" fontId="3" fillId="33" borderId="67" xfId="52" applyFont="1" applyFill="1" applyBorder="1" applyAlignment="1">
      <alignment/>
    </xf>
    <xf numFmtId="2" fontId="3" fillId="33" borderId="34" xfId="58" applyNumberFormat="1" applyFont="1" applyFill="1" applyBorder="1" applyAlignment="1">
      <alignment horizontal="right" vertical="center"/>
    </xf>
    <xf numFmtId="0" fontId="26" fillId="33" borderId="43" xfId="33" applyFont="1" applyFill="1" applyBorder="1" applyAlignment="1">
      <alignment horizontal="left"/>
    </xf>
    <xf numFmtId="0" fontId="27" fillId="33" borderId="38" xfId="33" applyFont="1" applyFill="1" applyBorder="1" applyAlignment="1">
      <alignment horizontal="left"/>
    </xf>
    <xf numFmtId="0" fontId="23" fillId="42" borderId="39" xfId="33" applyFont="1" applyFill="1" applyBorder="1" applyAlignment="1">
      <alignment horizontal="center" vertical="center" wrapText="1"/>
    </xf>
    <xf numFmtId="2" fontId="3" fillId="33" borderId="67" xfId="58" applyNumberFormat="1" applyFont="1" applyFill="1" applyBorder="1" applyAlignment="1">
      <alignment horizontal="right"/>
    </xf>
    <xf numFmtId="164" fontId="22" fillId="33" borderId="39" xfId="52" applyFont="1" applyFill="1" applyBorder="1" applyAlignment="1">
      <alignment/>
    </xf>
    <xf numFmtId="164" fontId="22" fillId="33" borderId="37" xfId="52" applyFont="1" applyFill="1" applyBorder="1" applyAlignment="1">
      <alignment/>
    </xf>
    <xf numFmtId="164" fontId="3" fillId="33" borderId="46" xfId="52" applyFont="1" applyFill="1" applyBorder="1" applyAlignment="1">
      <alignment horizontal="right" vertical="center"/>
    </xf>
    <xf numFmtId="0" fontId="27" fillId="33" borderId="36" xfId="34" applyFont="1" applyFill="1" applyBorder="1" applyAlignment="1">
      <alignment/>
    </xf>
    <xf numFmtId="0" fontId="27" fillId="33" borderId="38" xfId="34" applyFont="1" applyFill="1" applyBorder="1" applyAlignment="1">
      <alignment/>
    </xf>
    <xf numFmtId="165" fontId="22" fillId="33" borderId="39" xfId="52" applyNumberFormat="1" applyFont="1" applyFill="1" applyBorder="1" applyAlignment="1">
      <alignment/>
    </xf>
    <xf numFmtId="164" fontId="22" fillId="33" borderId="38" xfId="52" applyFont="1" applyFill="1" applyBorder="1" applyAlignment="1">
      <alignment/>
    </xf>
    <xf numFmtId="179" fontId="22" fillId="33" borderId="51" xfId="33" applyNumberFormat="1" applyFont="1" applyFill="1" applyBorder="1" applyAlignment="1">
      <alignment horizontal="center"/>
    </xf>
    <xf numFmtId="10" fontId="22" fillId="33" borderId="39" xfId="33" applyNumberFormat="1" applyFont="1" applyFill="1" applyBorder="1" applyAlignment="1">
      <alignment horizontal="center"/>
    </xf>
    <xf numFmtId="17" fontId="0" fillId="33" borderId="0" xfId="33" applyNumberFormat="1" applyFont="1" applyFill="1" applyAlignment="1">
      <alignment/>
    </xf>
    <xf numFmtId="165" fontId="0" fillId="33" borderId="0" xfId="33" applyNumberFormat="1" applyFont="1" applyFill="1" applyAlignment="1">
      <alignment/>
    </xf>
    <xf numFmtId="0" fontId="15" fillId="33" borderId="0" xfId="33" applyFont="1" applyFill="1" applyBorder="1" applyAlignment="1">
      <alignment/>
    </xf>
    <xf numFmtId="2" fontId="0" fillId="33" borderId="0" xfId="58" applyNumberFormat="1" applyFont="1" applyFill="1" applyAlignment="1">
      <alignment/>
    </xf>
    <xf numFmtId="0" fontId="15" fillId="33" borderId="0" xfId="33" applyFont="1" applyFill="1" applyBorder="1" applyAlignment="1">
      <alignment horizontal="center"/>
    </xf>
    <xf numFmtId="0" fontId="3" fillId="33" borderId="0" xfId="33" applyFont="1" applyFill="1" applyBorder="1" applyAlignment="1">
      <alignment vertical="center" wrapText="1"/>
    </xf>
    <xf numFmtId="17" fontId="22" fillId="33" borderId="0" xfId="33" applyNumberFormat="1" applyFont="1" applyFill="1" applyBorder="1" applyAlignment="1">
      <alignment wrapText="1"/>
    </xf>
    <xf numFmtId="0" fontId="22" fillId="33" borderId="0" xfId="33" applyFont="1" applyFill="1" applyBorder="1" applyAlignment="1">
      <alignment wrapText="1"/>
    </xf>
    <xf numFmtId="0" fontId="3" fillId="33" borderId="0" xfId="33" applyFont="1" applyFill="1" applyBorder="1" applyAlignment="1">
      <alignment horizontal="center" vertical="center" wrapText="1"/>
    </xf>
    <xf numFmtId="179" fontId="22" fillId="33" borderId="36" xfId="33" applyNumberFormat="1" applyFont="1" applyFill="1" applyBorder="1" applyAlignment="1">
      <alignment horizontal="center"/>
    </xf>
    <xf numFmtId="179" fontId="22" fillId="33" borderId="63" xfId="33" applyNumberFormat="1" applyFont="1" applyFill="1" applyBorder="1" applyAlignment="1">
      <alignment horizontal="center"/>
    </xf>
    <xf numFmtId="4" fontId="31" fillId="33" borderId="53" xfId="34" applyNumberFormat="1" applyFont="1" applyFill="1" applyBorder="1" applyAlignment="1">
      <alignment horizontal="center"/>
    </xf>
    <xf numFmtId="4" fontId="3" fillId="33" borderId="54" xfId="34" applyNumberFormat="1" applyFont="1" applyFill="1" applyBorder="1" applyAlignment="1">
      <alignment horizontal="center"/>
    </xf>
    <xf numFmtId="0" fontId="23" fillId="42" borderId="49" xfId="34" applyFont="1" applyFill="1" applyBorder="1" applyAlignment="1">
      <alignment horizontal="center" vertical="center" wrapText="1"/>
    </xf>
    <xf numFmtId="165" fontId="3" fillId="33" borderId="64" xfId="52" applyNumberFormat="1" applyFont="1" applyFill="1" applyBorder="1" applyAlignment="1">
      <alignment/>
    </xf>
    <xf numFmtId="165" fontId="22" fillId="33" borderId="38" xfId="52" applyNumberFormat="1" applyFont="1" applyFill="1" applyBorder="1" applyAlignment="1">
      <alignment/>
    </xf>
    <xf numFmtId="167" fontId="83" fillId="33" borderId="51" xfId="33" applyNumberFormat="1" applyFont="1" applyFill="1" applyBorder="1" applyAlignment="1">
      <alignment/>
    </xf>
    <xf numFmtId="0" fontId="84" fillId="0" borderId="0" xfId="33" applyFont="1" applyAlignment="1">
      <alignment/>
    </xf>
    <xf numFmtId="15" fontId="21" fillId="33" borderId="18" xfId="35" applyNumberFormat="1" applyFont="1" applyFill="1" applyBorder="1" applyAlignment="1">
      <alignment horizontal="center" vertical="center"/>
    </xf>
    <xf numFmtId="0" fontId="21" fillId="33" borderId="18" xfId="35" applyFont="1" applyFill="1" applyBorder="1" applyAlignment="1">
      <alignment horizontal="center" vertical="center" wrapText="1"/>
    </xf>
    <xf numFmtId="0" fontId="21" fillId="33" borderId="18" xfId="35" applyFont="1" applyFill="1" applyBorder="1" applyAlignment="1">
      <alignment horizontal="center" vertical="center"/>
    </xf>
    <xf numFmtId="10" fontId="21" fillId="33" borderId="18" xfId="35" applyNumberFormat="1" applyFont="1" applyFill="1" applyBorder="1" applyAlignment="1">
      <alignment horizontal="center" vertical="center"/>
    </xf>
    <xf numFmtId="165" fontId="24" fillId="33" borderId="0" xfId="49" applyNumberFormat="1" applyFont="1" applyFill="1" applyBorder="1" applyAlignment="1" applyProtection="1">
      <alignment horizontal="left"/>
      <protection/>
    </xf>
    <xf numFmtId="0" fontId="20" fillId="42" borderId="14" xfId="35" applyFont="1" applyFill="1" applyBorder="1" applyAlignment="1" quotePrefix="1">
      <alignment horizontal="center"/>
    </xf>
    <xf numFmtId="0" fontId="20" fillId="42" borderId="0" xfId="35" applyFont="1" applyFill="1" applyBorder="1" applyAlignment="1" quotePrefix="1">
      <alignment horizontal="center"/>
    </xf>
    <xf numFmtId="0" fontId="20" fillId="42" borderId="12" xfId="35" applyFont="1" applyFill="1" applyBorder="1" applyAlignment="1" quotePrefix="1">
      <alignment horizontal="center"/>
    </xf>
    <xf numFmtId="0" fontId="20" fillId="42" borderId="14" xfId="35" applyFont="1" applyFill="1" applyBorder="1" applyAlignment="1">
      <alignment horizontal="center" vertical="center" wrapText="1"/>
    </xf>
    <xf numFmtId="0" fontId="20" fillId="42" borderId="0" xfId="35" applyFont="1" applyFill="1" applyBorder="1" applyAlignment="1">
      <alignment horizontal="center" vertical="center" wrapText="1"/>
    </xf>
    <xf numFmtId="0" fontId="20" fillId="42" borderId="12" xfId="35" applyFont="1" applyFill="1" applyBorder="1" applyAlignment="1">
      <alignment horizontal="center" vertical="center" wrapText="1"/>
    </xf>
    <xf numFmtId="3" fontId="21" fillId="33" borderId="18" xfId="35" applyNumberFormat="1" applyFont="1" applyFill="1" applyBorder="1" applyAlignment="1">
      <alignment horizontal="center" vertical="center" wrapText="1"/>
    </xf>
    <xf numFmtId="165" fontId="0" fillId="33" borderId="0" xfId="49" applyNumberFormat="1" applyFont="1" applyFill="1" applyBorder="1" applyAlignment="1" applyProtection="1">
      <alignment horizontal="left"/>
      <protection/>
    </xf>
    <xf numFmtId="0" fontId="7" fillId="33" borderId="0" xfId="33" applyFont="1" applyFill="1" applyBorder="1" applyAlignment="1">
      <alignment horizontal="center" wrapText="1"/>
    </xf>
    <xf numFmtId="0" fontId="9" fillId="33" borderId="0" xfId="49" applyFont="1" applyFill="1" applyBorder="1" applyAlignment="1" applyProtection="1">
      <alignment horizontal="center"/>
      <protection/>
    </xf>
    <xf numFmtId="0" fontId="9" fillId="33" borderId="0" xfId="33" applyFont="1" applyFill="1" applyBorder="1" applyAlignment="1">
      <alignment horizontal="center"/>
    </xf>
    <xf numFmtId="0" fontId="8" fillId="33" borderId="0" xfId="33" applyFont="1" applyFill="1" applyBorder="1" applyAlignment="1">
      <alignment horizontal="center"/>
    </xf>
    <xf numFmtId="178" fontId="8" fillId="33" borderId="0" xfId="33" applyNumberFormat="1" applyFont="1" applyFill="1" applyBorder="1" applyAlignment="1">
      <alignment horizontal="center"/>
    </xf>
    <xf numFmtId="0" fontId="19" fillId="42" borderId="36" xfId="34" applyFont="1" applyFill="1" applyBorder="1" applyAlignment="1">
      <alignment horizontal="center" vertical="center" wrapText="1"/>
    </xf>
    <xf numFmtId="0" fontId="19" fillId="42" borderId="37" xfId="34" applyFont="1" applyFill="1" applyBorder="1" applyAlignment="1">
      <alignment horizontal="center" vertical="center" wrapText="1"/>
    </xf>
    <xf numFmtId="0" fontId="19" fillId="42" borderId="38" xfId="34" applyFont="1" applyFill="1" applyBorder="1" applyAlignment="1">
      <alignment horizontal="center" vertical="center" wrapText="1"/>
    </xf>
    <xf numFmtId="0" fontId="26" fillId="33" borderId="0" xfId="34" applyFont="1" applyFill="1" applyBorder="1" applyAlignment="1">
      <alignment horizontal="left"/>
    </xf>
    <xf numFmtId="0" fontId="29" fillId="42" borderId="68" xfId="34" applyFont="1" applyFill="1" applyBorder="1" applyAlignment="1">
      <alignment horizontal="center"/>
    </xf>
    <xf numFmtId="0" fontId="29" fillId="42" borderId="69" xfId="34" applyFont="1" applyFill="1" applyBorder="1" applyAlignment="1">
      <alignment horizontal="center"/>
    </xf>
    <xf numFmtId="0" fontId="29" fillId="42" borderId="70" xfId="34" applyFont="1" applyFill="1" applyBorder="1" applyAlignment="1">
      <alignment horizontal="center"/>
    </xf>
    <xf numFmtId="0" fontId="29" fillId="42" borderId="15" xfId="34" applyFont="1" applyFill="1" applyBorder="1" applyAlignment="1">
      <alignment horizontal="center"/>
    </xf>
    <xf numFmtId="0" fontId="29" fillId="42" borderId="16" xfId="34" applyFont="1" applyFill="1" applyBorder="1" applyAlignment="1">
      <alignment horizontal="center"/>
    </xf>
    <xf numFmtId="0" fontId="29" fillId="42" borderId="13" xfId="34" applyFont="1" applyFill="1" applyBorder="1" applyAlignment="1">
      <alignment horizontal="center"/>
    </xf>
    <xf numFmtId="0" fontId="18" fillId="42" borderId="71" xfId="34" applyFont="1" applyFill="1" applyBorder="1" applyAlignment="1">
      <alignment horizontal="center"/>
    </xf>
    <xf numFmtId="0" fontId="18" fillId="42" borderId="72" xfId="34" applyFont="1" applyFill="1" applyBorder="1" applyAlignment="1">
      <alignment horizontal="center"/>
    </xf>
    <xf numFmtId="0" fontId="18" fillId="42" borderId="73" xfId="34" applyFont="1" applyFill="1" applyBorder="1" applyAlignment="1">
      <alignment horizontal="center"/>
    </xf>
    <xf numFmtId="0" fontId="0" fillId="33" borderId="0" xfId="34" applyFont="1" applyFill="1" applyBorder="1" applyAlignment="1">
      <alignment horizontal="left" wrapText="1"/>
    </xf>
    <xf numFmtId="0" fontId="0" fillId="33" borderId="12" xfId="34" applyFont="1" applyFill="1" applyBorder="1" applyAlignment="1">
      <alignment horizontal="left" wrapText="1"/>
    </xf>
    <xf numFmtId="0" fontId="0" fillId="33" borderId="0" xfId="33" applyFont="1" applyFill="1" applyBorder="1" applyAlignment="1">
      <alignment horizontal="left" vertical="justify"/>
    </xf>
    <xf numFmtId="0" fontId="23" fillId="33" borderId="0" xfId="34" applyFont="1" applyFill="1" applyBorder="1" applyAlignment="1">
      <alignment horizontal="center" wrapText="1"/>
    </xf>
    <xf numFmtId="0" fontId="23" fillId="42" borderId="30" xfId="33" applyFont="1" applyFill="1" applyBorder="1" applyAlignment="1">
      <alignment horizontal="center" vertical="center" wrapText="1"/>
    </xf>
    <xf numFmtId="0" fontId="23" fillId="42" borderId="31" xfId="33" applyFont="1" applyFill="1" applyBorder="1" applyAlignment="1">
      <alignment horizontal="center" vertical="center" wrapText="1"/>
    </xf>
    <xf numFmtId="0" fontId="23" fillId="42" borderId="37" xfId="33" applyFont="1" applyFill="1" applyBorder="1" applyAlignment="1">
      <alignment horizontal="center" vertical="center" wrapText="1"/>
    </xf>
    <xf numFmtId="0" fontId="23" fillId="42" borderId="38" xfId="33" applyFont="1" applyFill="1" applyBorder="1" applyAlignment="1">
      <alignment horizontal="center" vertical="center" wrapText="1"/>
    </xf>
    <xf numFmtId="0" fontId="23" fillId="42" borderId="36" xfId="34" applyFont="1" applyFill="1" applyBorder="1" applyAlignment="1">
      <alignment horizontal="center" vertical="center" wrapText="1"/>
    </xf>
    <xf numFmtId="0" fontId="23" fillId="42" borderId="38" xfId="34" applyFont="1" applyFill="1" applyBorder="1" applyAlignment="1">
      <alignment horizontal="center" vertical="center" wrapText="1"/>
    </xf>
    <xf numFmtId="0" fontId="85" fillId="44" borderId="15" xfId="34" applyFont="1" applyFill="1" applyBorder="1" applyAlignment="1">
      <alignment horizontal="center"/>
    </xf>
    <xf numFmtId="0" fontId="85" fillId="44" borderId="16" xfId="34" applyFont="1" applyFill="1" applyBorder="1" applyAlignment="1">
      <alignment horizontal="center"/>
    </xf>
    <xf numFmtId="0" fontId="85" fillId="44" borderId="13" xfId="34" applyFont="1" applyFill="1" applyBorder="1" applyAlignment="1">
      <alignment horizontal="center"/>
    </xf>
    <xf numFmtId="0" fontId="22" fillId="33" borderId="36" xfId="34" applyFont="1" applyFill="1" applyBorder="1" applyAlignment="1">
      <alignment horizontal="center"/>
    </xf>
    <xf numFmtId="0" fontId="22" fillId="33" borderId="38" xfId="34" applyFont="1" applyFill="1" applyBorder="1" applyAlignment="1">
      <alignment horizontal="center"/>
    </xf>
    <xf numFmtId="0" fontId="3" fillId="33" borderId="51" xfId="34" applyFont="1" applyFill="1" applyBorder="1" applyAlignment="1">
      <alignment horizontal="center"/>
    </xf>
    <xf numFmtId="0" fontId="3" fillId="33" borderId="43" xfId="34" applyFont="1" applyFill="1" applyBorder="1" applyAlignment="1">
      <alignment horizontal="center"/>
    </xf>
    <xf numFmtId="0" fontId="3" fillId="33" borderId="30" xfId="34" applyFont="1" applyFill="1" applyBorder="1" applyAlignment="1">
      <alignment horizontal="center"/>
    </xf>
    <xf numFmtId="0" fontId="3" fillId="33" borderId="32" xfId="34" applyFont="1" applyFill="1" applyBorder="1" applyAlignment="1">
      <alignment horizontal="center"/>
    </xf>
    <xf numFmtId="0" fontId="25" fillId="42" borderId="71" xfId="33" applyFont="1" applyFill="1" applyBorder="1" applyAlignment="1">
      <alignment horizontal="center" vertical="justify" wrapText="1"/>
    </xf>
    <xf numFmtId="0" fontId="25" fillId="42" borderId="72" xfId="33" applyFont="1" applyFill="1" applyBorder="1" applyAlignment="1">
      <alignment horizontal="center" vertical="justify" wrapText="1"/>
    </xf>
    <xf numFmtId="0" fontId="25" fillId="42" borderId="73" xfId="33" applyFont="1" applyFill="1" applyBorder="1" applyAlignment="1">
      <alignment horizontal="center" vertical="justify" wrapText="1"/>
    </xf>
    <xf numFmtId="0" fontId="23" fillId="42" borderId="63" xfId="33" applyFont="1" applyFill="1" applyBorder="1" applyAlignment="1">
      <alignment horizontal="center" wrapText="1"/>
    </xf>
    <xf numFmtId="0" fontId="23" fillId="42" borderId="44" xfId="33" applyFont="1" applyFill="1" applyBorder="1" applyAlignment="1">
      <alignment horizontal="center" wrapText="1"/>
    </xf>
    <xf numFmtId="0" fontId="23" fillId="42" borderId="50" xfId="33" applyFont="1" applyFill="1" applyBorder="1" applyAlignment="1">
      <alignment horizontal="center" wrapText="1"/>
    </xf>
    <xf numFmtId="0" fontId="23" fillId="42" borderId="62" xfId="34" applyFont="1" applyFill="1" applyBorder="1" applyAlignment="1">
      <alignment horizontal="center" vertical="center" wrapText="1"/>
    </xf>
    <xf numFmtId="0" fontId="23" fillId="42" borderId="59" xfId="34" applyFont="1" applyFill="1" applyBorder="1" applyAlignment="1">
      <alignment horizontal="center" vertical="center" wrapText="1"/>
    </xf>
    <xf numFmtId="0" fontId="85" fillId="44" borderId="74" xfId="34" applyFont="1" applyFill="1" applyBorder="1" applyAlignment="1">
      <alignment horizontal="center"/>
    </xf>
    <xf numFmtId="0" fontId="85" fillId="44" borderId="75" xfId="34" applyFont="1" applyFill="1" applyBorder="1" applyAlignment="1">
      <alignment horizontal="center"/>
    </xf>
    <xf numFmtId="0" fontId="85" fillId="44" borderId="76" xfId="34" applyFont="1" applyFill="1" applyBorder="1" applyAlignment="1">
      <alignment horizontal="center"/>
    </xf>
    <xf numFmtId="0" fontId="3" fillId="33" borderId="0" xfId="33" applyFont="1" applyFill="1" applyBorder="1" applyAlignment="1">
      <alignment horizontal="left"/>
    </xf>
    <xf numFmtId="0" fontId="25" fillId="42" borderId="74" xfId="33" applyFont="1" applyFill="1" applyBorder="1" applyAlignment="1">
      <alignment horizontal="center"/>
    </xf>
    <xf numFmtId="0" fontId="25" fillId="42" borderId="75" xfId="33" applyFont="1" applyFill="1" applyBorder="1" applyAlignment="1">
      <alignment horizontal="center"/>
    </xf>
    <xf numFmtId="0" fontId="25" fillId="42" borderId="76" xfId="33" applyFont="1" applyFill="1" applyBorder="1" applyAlignment="1">
      <alignment horizontal="center"/>
    </xf>
    <xf numFmtId="0" fontId="85" fillId="44" borderId="74" xfId="33" applyFont="1" applyFill="1" applyBorder="1" applyAlignment="1">
      <alignment horizontal="center"/>
    </xf>
    <xf numFmtId="0" fontId="85" fillId="44" borderId="75" xfId="33" applyFont="1" applyFill="1" applyBorder="1" applyAlignment="1">
      <alignment horizontal="center"/>
    </xf>
    <xf numFmtId="0" fontId="85" fillId="44" borderId="76" xfId="33" applyFont="1" applyFill="1" applyBorder="1" applyAlignment="1">
      <alignment horizontal="center"/>
    </xf>
    <xf numFmtId="0" fontId="19" fillId="42" borderId="36" xfId="33" applyFont="1" applyFill="1" applyBorder="1" applyAlignment="1">
      <alignment horizontal="center" vertical="center" wrapText="1"/>
    </xf>
    <xf numFmtId="0" fontId="19" fillId="42" borderId="37" xfId="33" applyFont="1" applyFill="1" applyBorder="1" applyAlignment="1">
      <alignment horizontal="center" vertical="center" wrapText="1"/>
    </xf>
    <xf numFmtId="0" fontId="19" fillId="42" borderId="38" xfId="33" applyFont="1" applyFill="1" applyBorder="1" applyAlignment="1">
      <alignment horizontal="center" vertical="center" wrapText="1"/>
    </xf>
    <xf numFmtId="0" fontId="23" fillId="42" borderId="63" xfId="33" applyFont="1" applyFill="1" applyBorder="1" applyAlignment="1">
      <alignment horizontal="center" vertical="center" wrapText="1"/>
    </xf>
    <xf numFmtId="0" fontId="23" fillId="42" borderId="50" xfId="33" applyFont="1" applyFill="1" applyBorder="1" applyAlignment="1">
      <alignment horizontal="center" vertical="center" wrapText="1"/>
    </xf>
    <xf numFmtId="0" fontId="20" fillId="33" borderId="31" xfId="33" applyFont="1" applyFill="1" applyBorder="1" applyAlignment="1">
      <alignment horizontal="center" vertical="center" wrapText="1"/>
    </xf>
    <xf numFmtId="0" fontId="22" fillId="33" borderId="0" xfId="33" applyFont="1" applyFill="1" applyBorder="1" applyAlignment="1">
      <alignment horizontal="center"/>
    </xf>
    <xf numFmtId="0" fontId="23" fillId="42" borderId="77" xfId="33" applyFont="1" applyFill="1" applyBorder="1" applyAlignment="1">
      <alignment horizontal="center" vertical="center" wrapText="1"/>
    </xf>
    <xf numFmtId="0" fontId="23" fillId="42" borderId="60" xfId="33" applyFont="1" applyFill="1" applyBorder="1" applyAlignment="1">
      <alignment horizontal="center" vertical="center" wrapText="1"/>
    </xf>
    <xf numFmtId="0" fontId="3" fillId="33" borderId="16" xfId="33" applyFont="1" applyFill="1" applyBorder="1" applyAlignment="1">
      <alignment horizontal="left"/>
    </xf>
    <xf numFmtId="0" fontId="24" fillId="33" borderId="33" xfId="33" applyFont="1" applyFill="1" applyBorder="1" applyAlignment="1">
      <alignment horizontal="left"/>
    </xf>
    <xf numFmtId="0" fontId="24" fillId="33" borderId="46" xfId="33" applyFont="1" applyFill="1" applyBorder="1" applyAlignment="1">
      <alignment horizontal="left"/>
    </xf>
    <xf numFmtId="0" fontId="19" fillId="42" borderId="63" xfId="33" applyFont="1" applyFill="1" applyBorder="1" applyAlignment="1">
      <alignment horizontal="center"/>
    </xf>
    <xf numFmtId="0" fontId="19" fillId="42" borderId="44" xfId="33" applyFont="1" applyFill="1" applyBorder="1" applyAlignment="1">
      <alignment horizontal="center"/>
    </xf>
    <xf numFmtId="0" fontId="19" fillId="42" borderId="50" xfId="33" applyFont="1" applyFill="1" applyBorder="1" applyAlignment="1">
      <alignment horizontal="center"/>
    </xf>
    <xf numFmtId="0" fontId="19" fillId="42" borderId="36" xfId="33" applyFont="1" applyFill="1" applyBorder="1" applyAlignment="1">
      <alignment horizontal="center"/>
    </xf>
    <xf numFmtId="0" fontId="19" fillId="42" borderId="49" xfId="33" applyFont="1" applyFill="1" applyBorder="1" applyAlignment="1">
      <alignment horizontal="center"/>
    </xf>
    <xf numFmtId="0" fontId="24" fillId="33" borderId="51" xfId="33" applyFont="1" applyFill="1" applyBorder="1" applyAlignment="1">
      <alignment horizontal="left"/>
    </xf>
    <xf numFmtId="0" fontId="24" fillId="33" borderId="64" xfId="33" applyFont="1" applyFill="1" applyBorder="1" applyAlignment="1">
      <alignment horizontal="left"/>
    </xf>
    <xf numFmtId="0" fontId="20" fillId="42" borderId="30" xfId="33" applyFont="1" applyFill="1" applyBorder="1" applyAlignment="1">
      <alignment horizontal="center" vertical="center" wrapText="1"/>
    </xf>
    <xf numFmtId="0" fontId="20" fillId="42" borderId="31" xfId="33" applyFont="1" applyFill="1" applyBorder="1" applyAlignment="1">
      <alignment horizontal="center" vertical="center" wrapText="1"/>
    </xf>
    <xf numFmtId="0" fontId="20" fillId="42" borderId="33" xfId="33" applyFont="1" applyFill="1" applyBorder="1" applyAlignment="1">
      <alignment horizontal="center" vertical="center" wrapText="1"/>
    </xf>
    <xf numFmtId="0" fontId="20" fillId="42" borderId="46" xfId="33" applyFont="1" applyFill="1" applyBorder="1" applyAlignment="1">
      <alignment horizontal="center" vertical="center" wrapText="1"/>
    </xf>
    <xf numFmtId="0" fontId="83" fillId="33" borderId="33" xfId="33" applyFont="1" applyFill="1" applyBorder="1" applyAlignment="1">
      <alignment horizontal="center" vertical="center"/>
    </xf>
    <xf numFmtId="0" fontId="83" fillId="33" borderId="46" xfId="33" applyFont="1" applyFill="1" applyBorder="1" applyAlignment="1">
      <alignment horizontal="center" vertical="center"/>
    </xf>
    <xf numFmtId="0" fontId="3" fillId="33" borderId="33" xfId="33" applyFont="1" applyFill="1" applyBorder="1" applyAlignment="1">
      <alignment horizontal="center" vertical="center"/>
    </xf>
    <xf numFmtId="0" fontId="3" fillId="33" borderId="46" xfId="33" applyFont="1" applyFill="1" applyBorder="1" applyAlignment="1">
      <alignment horizontal="center" vertical="center"/>
    </xf>
    <xf numFmtId="0" fontId="18" fillId="42" borderId="15" xfId="33" applyFont="1" applyFill="1" applyBorder="1" applyAlignment="1">
      <alignment horizontal="center"/>
    </xf>
    <xf numFmtId="0" fontId="18" fillId="42" borderId="16" xfId="33" applyFont="1" applyFill="1" applyBorder="1" applyAlignment="1">
      <alignment horizontal="center"/>
    </xf>
    <xf numFmtId="0" fontId="18" fillId="42" borderId="13" xfId="33" applyFont="1" applyFill="1" applyBorder="1" applyAlignment="1">
      <alignment horizontal="center"/>
    </xf>
    <xf numFmtId="0" fontId="3" fillId="33" borderId="0" xfId="33" applyFont="1" applyFill="1" applyBorder="1" applyAlignment="1">
      <alignment horizontal="center"/>
    </xf>
    <xf numFmtId="17" fontId="19" fillId="42" borderId="63" xfId="33" applyNumberFormat="1" applyFont="1" applyFill="1" applyBorder="1" applyAlignment="1">
      <alignment horizontal="center" vertical="center" wrapText="1"/>
    </xf>
    <xf numFmtId="0" fontId="19" fillId="42" borderId="44" xfId="33" applyFont="1" applyFill="1" applyBorder="1" applyAlignment="1">
      <alignment horizontal="center" vertical="center" wrapText="1"/>
    </xf>
    <xf numFmtId="17" fontId="19" fillId="42" borderId="44" xfId="33" applyNumberFormat="1" applyFont="1" applyFill="1" applyBorder="1" applyAlignment="1">
      <alignment horizontal="center" vertical="center" wrapText="1"/>
    </xf>
    <xf numFmtId="0" fontId="19" fillId="42" borderId="50" xfId="33" applyFont="1" applyFill="1" applyBorder="1" applyAlignment="1">
      <alignment horizontal="center" vertical="center" wrapText="1"/>
    </xf>
    <xf numFmtId="0" fontId="18" fillId="33" borderId="17" xfId="33" applyFont="1" applyFill="1" applyBorder="1" applyAlignment="1">
      <alignment horizontal="center"/>
    </xf>
    <xf numFmtId="0" fontId="18" fillId="33" borderId="10" xfId="33" applyFont="1" applyFill="1" applyBorder="1" applyAlignment="1">
      <alignment horizontal="center"/>
    </xf>
    <xf numFmtId="0" fontId="18" fillId="33" borderId="11" xfId="33" applyFont="1" applyFill="1" applyBorder="1" applyAlignment="1">
      <alignment horizontal="center"/>
    </xf>
    <xf numFmtId="0" fontId="19" fillId="42" borderId="30" xfId="33" applyFont="1" applyFill="1" applyBorder="1" applyAlignment="1">
      <alignment horizontal="center" vertical="center" wrapText="1"/>
    </xf>
    <xf numFmtId="0" fontId="19" fillId="42" borderId="31" xfId="33" applyFont="1" applyFill="1" applyBorder="1" applyAlignment="1">
      <alignment horizontal="center" vertical="center" wrapText="1"/>
    </xf>
    <xf numFmtId="0" fontId="19" fillId="42" borderId="33" xfId="33" applyFont="1" applyFill="1" applyBorder="1" applyAlignment="1">
      <alignment horizontal="center" vertical="center" wrapText="1"/>
    </xf>
    <xf numFmtId="0" fontId="19" fillId="42" borderId="46" xfId="33" applyFont="1" applyFill="1" applyBorder="1" applyAlignment="1">
      <alignment horizontal="center" vertical="center" wrapText="1"/>
    </xf>
    <xf numFmtId="0" fontId="18" fillId="33" borderId="14" xfId="33" applyFont="1" applyFill="1" applyBorder="1" applyAlignment="1">
      <alignment horizontal="center"/>
    </xf>
    <xf numFmtId="0" fontId="18" fillId="33" borderId="0" xfId="33" applyFont="1" applyFill="1" applyBorder="1" applyAlignment="1">
      <alignment horizontal="center"/>
    </xf>
    <xf numFmtId="0" fontId="18" fillId="33" borderId="12" xfId="33" applyFont="1" applyFill="1" applyBorder="1" applyAlignment="1">
      <alignment horizontal="center"/>
    </xf>
    <xf numFmtId="17" fontId="23" fillId="33" borderId="0" xfId="33" applyNumberFormat="1" applyFont="1" applyFill="1" applyBorder="1" applyAlignment="1">
      <alignment horizontal="center" wrapText="1"/>
    </xf>
    <xf numFmtId="0" fontId="23" fillId="33" borderId="0" xfId="33" applyFont="1" applyFill="1" applyBorder="1" applyAlignment="1">
      <alignment horizontal="center" wrapText="1"/>
    </xf>
    <xf numFmtId="0" fontId="3" fillId="33" borderId="33" xfId="33" applyFont="1" applyFill="1" applyBorder="1" applyAlignment="1">
      <alignment horizontal="center"/>
    </xf>
    <xf numFmtId="0" fontId="3" fillId="33" borderId="46" xfId="33" applyFont="1" applyFill="1" applyBorder="1" applyAlignment="1">
      <alignment horizontal="center"/>
    </xf>
    <xf numFmtId="17" fontId="23" fillId="42" borderId="36" xfId="33" applyNumberFormat="1" applyFont="1" applyFill="1" applyBorder="1" applyAlignment="1">
      <alignment horizontal="center" wrapText="1"/>
    </xf>
    <xf numFmtId="17" fontId="23" fillId="42" borderId="37" xfId="33" applyNumberFormat="1" applyFont="1" applyFill="1" applyBorder="1" applyAlignment="1">
      <alignment horizontal="center" wrapText="1"/>
    </xf>
    <xf numFmtId="17" fontId="23" fillId="42" borderId="38" xfId="33" applyNumberFormat="1" applyFont="1" applyFill="1" applyBorder="1" applyAlignment="1">
      <alignment horizontal="center" wrapText="1"/>
    </xf>
    <xf numFmtId="0" fontId="20" fillId="42" borderId="36" xfId="33" applyFont="1" applyFill="1" applyBorder="1" applyAlignment="1">
      <alignment horizontal="center" vertical="center" wrapText="1"/>
    </xf>
    <xf numFmtId="0" fontId="20" fillId="42" borderId="49" xfId="33" applyFont="1" applyFill="1" applyBorder="1" applyAlignment="1">
      <alignment horizontal="center" vertical="center" wrapText="1"/>
    </xf>
    <xf numFmtId="17" fontId="23" fillId="0" borderId="0" xfId="33" applyNumberFormat="1" applyFont="1" applyFill="1" applyBorder="1" applyAlignment="1">
      <alignment horizontal="center" wrapText="1"/>
    </xf>
    <xf numFmtId="0" fontId="23" fillId="0" borderId="0" xfId="33" applyFont="1" applyFill="1" applyBorder="1" applyAlignment="1">
      <alignment horizontal="center" wrapText="1"/>
    </xf>
    <xf numFmtId="0" fontId="20" fillId="33" borderId="0" xfId="33" applyFont="1" applyFill="1" applyBorder="1" applyAlignment="1">
      <alignment horizontal="center" vertical="center" wrapText="1"/>
    </xf>
    <xf numFmtId="0" fontId="0" fillId="33" borderId="0" xfId="33" applyFont="1" applyFill="1" applyBorder="1" applyAlignment="1">
      <alignment/>
    </xf>
    <xf numFmtId="0" fontId="3" fillId="33" borderId="34" xfId="33" applyFont="1" applyFill="1" applyBorder="1" applyAlignment="1">
      <alignment horizontal="center"/>
    </xf>
    <xf numFmtId="0" fontId="20" fillId="42" borderId="37" xfId="33" applyFont="1" applyFill="1" applyBorder="1" applyAlignment="1">
      <alignment horizontal="center" vertical="center" wrapText="1"/>
    </xf>
    <xf numFmtId="0" fontId="23" fillId="42" borderId="36" xfId="33" applyFont="1" applyFill="1" applyBorder="1" applyAlignment="1">
      <alignment horizontal="center" wrapText="1"/>
    </xf>
    <xf numFmtId="0" fontId="23" fillId="42" borderId="37" xfId="33" applyFont="1" applyFill="1" applyBorder="1" applyAlignment="1">
      <alignment horizontal="center" wrapText="1"/>
    </xf>
    <xf numFmtId="0" fontId="23" fillId="42" borderId="38" xfId="33" applyFont="1" applyFill="1" applyBorder="1" applyAlignment="1">
      <alignment horizontal="center" wrapText="1"/>
    </xf>
    <xf numFmtId="0" fontId="18" fillId="42" borderId="14" xfId="33" applyFont="1" applyFill="1" applyBorder="1" applyAlignment="1">
      <alignment horizontal="center"/>
    </xf>
    <xf numFmtId="0" fontId="18" fillId="42" borderId="0" xfId="33" applyFont="1" applyFill="1" applyBorder="1" applyAlignment="1">
      <alignment horizontal="center"/>
    </xf>
    <xf numFmtId="0" fontId="18" fillId="42" borderId="12" xfId="33" applyFont="1" applyFill="1" applyBorder="1" applyAlignment="1">
      <alignment horizontal="center"/>
    </xf>
    <xf numFmtId="15" fontId="11" fillId="33" borderId="20" xfId="33" applyNumberFormat="1" applyFont="1" applyFill="1" applyBorder="1" applyAlignment="1">
      <alignment horizontal="center" vertical="center"/>
    </xf>
    <xf numFmtId="15" fontId="11" fillId="33" borderId="40" xfId="33" applyNumberFormat="1" applyFont="1" applyFill="1" applyBorder="1" applyAlignment="1">
      <alignment horizontal="center" vertical="center"/>
    </xf>
    <xf numFmtId="15" fontId="11" fillId="33" borderId="19" xfId="33" applyNumberFormat="1" applyFont="1" applyFill="1" applyBorder="1" applyAlignment="1">
      <alignment horizontal="center" vertical="center"/>
    </xf>
    <xf numFmtId="0" fontId="11" fillId="33" borderId="18" xfId="33" applyFont="1" applyFill="1" applyBorder="1" applyAlignment="1">
      <alignment horizontal="center" vertical="center" wrapText="1"/>
    </xf>
    <xf numFmtId="3" fontId="11" fillId="33" borderId="18" xfId="33" applyNumberFormat="1" applyFont="1" applyFill="1" applyBorder="1" applyAlignment="1">
      <alignment horizontal="center" vertical="center" wrapText="1"/>
    </xf>
    <xf numFmtId="0" fontId="11" fillId="33" borderId="18" xfId="33" applyFont="1" applyFill="1" applyBorder="1" applyAlignment="1">
      <alignment horizontal="center" vertical="center"/>
    </xf>
    <xf numFmtId="15" fontId="11" fillId="33" borderId="18" xfId="33" applyNumberFormat="1" applyFont="1" applyFill="1" applyBorder="1" applyAlignment="1">
      <alignment horizontal="center" vertical="center"/>
    </xf>
    <xf numFmtId="15" fontId="11" fillId="33" borderId="18" xfId="33" applyNumberFormat="1" applyFont="1" applyFill="1" applyBorder="1" applyAlignment="1">
      <alignment horizontal="center" vertical="distributed"/>
    </xf>
    <xf numFmtId="0" fontId="11" fillId="33" borderId="20" xfId="33" applyFont="1" applyFill="1" applyBorder="1" applyAlignment="1">
      <alignment horizontal="center" vertical="center" wrapText="1"/>
    </xf>
    <xf numFmtId="0" fontId="11" fillId="33" borderId="40" xfId="33" applyFont="1" applyFill="1" applyBorder="1" applyAlignment="1">
      <alignment horizontal="center" vertical="center" wrapText="1"/>
    </xf>
    <xf numFmtId="0" fontId="11" fillId="33" borderId="19" xfId="33" applyFont="1" applyFill="1" applyBorder="1" applyAlignment="1">
      <alignment horizontal="center" vertical="center" wrapText="1"/>
    </xf>
    <xf numFmtId="0" fontId="3" fillId="33" borderId="18" xfId="33" applyFont="1" applyFill="1" applyBorder="1" applyAlignment="1">
      <alignment horizontal="center" vertical="distributed"/>
    </xf>
    <xf numFmtId="0" fontId="11" fillId="33" borderId="20" xfId="33" applyFont="1" applyFill="1" applyBorder="1" applyAlignment="1">
      <alignment horizontal="center" vertical="center"/>
    </xf>
    <xf numFmtId="0" fontId="11" fillId="33" borderId="40" xfId="33" applyFont="1" applyFill="1" applyBorder="1" applyAlignment="1">
      <alignment horizontal="center" vertical="center"/>
    </xf>
    <xf numFmtId="0" fontId="11" fillId="33" borderId="19" xfId="33" applyFont="1" applyFill="1" applyBorder="1" applyAlignment="1">
      <alignment horizontal="center" vertical="center"/>
    </xf>
    <xf numFmtId="15" fontId="11" fillId="33" borderId="18" xfId="33" applyNumberFormat="1" applyFont="1" applyFill="1" applyBorder="1" applyAlignment="1">
      <alignment horizontal="center" vertical="center" wrapText="1"/>
    </xf>
    <xf numFmtId="0" fontId="11" fillId="33" borderId="20" xfId="33" applyNumberFormat="1" applyFont="1" applyFill="1" applyBorder="1" applyAlignment="1">
      <alignment horizontal="center" vertical="center" wrapText="1"/>
    </xf>
    <xf numFmtId="0" fontId="11" fillId="33" borderId="19" xfId="33" applyNumberFormat="1" applyFont="1" applyFill="1" applyBorder="1" applyAlignment="1">
      <alignment horizontal="center" vertical="center" wrapText="1"/>
    </xf>
    <xf numFmtId="0" fontId="11" fillId="33" borderId="18" xfId="33" applyNumberFormat="1" applyFont="1" applyFill="1" applyBorder="1" applyAlignment="1">
      <alignment horizontal="center" vertical="center" wrapText="1"/>
    </xf>
    <xf numFmtId="15" fontId="11" fillId="33" borderId="20" xfId="33" applyNumberFormat="1" applyFont="1" applyFill="1" applyBorder="1" applyAlignment="1">
      <alignment horizontal="center" vertical="center" wrapText="1"/>
    </xf>
    <xf numFmtId="15" fontId="11" fillId="33" borderId="19" xfId="33" applyNumberFormat="1" applyFont="1" applyFill="1" applyBorder="1" applyAlignment="1">
      <alignment horizontal="center" vertical="center" wrapText="1"/>
    </xf>
    <xf numFmtId="166" fontId="11" fillId="33" borderId="20" xfId="33" applyNumberFormat="1" applyFont="1" applyFill="1" applyBorder="1" applyAlignment="1">
      <alignment horizontal="center" vertical="center" wrapText="1"/>
    </xf>
    <xf numFmtId="166" fontId="11" fillId="33" borderId="19" xfId="33" applyNumberFormat="1" applyFont="1" applyFill="1" applyBorder="1" applyAlignment="1">
      <alignment horizontal="center" vertical="center" wrapText="1"/>
    </xf>
    <xf numFmtId="0" fontId="11" fillId="33" borderId="40" xfId="33" applyNumberFormat="1" applyFont="1" applyFill="1" applyBorder="1" applyAlignment="1">
      <alignment horizontal="center" vertical="center" wrapText="1"/>
    </xf>
    <xf numFmtId="166" fontId="11" fillId="33" borderId="40" xfId="33" applyNumberFormat="1" applyFont="1" applyFill="1" applyBorder="1" applyAlignment="1">
      <alignment horizontal="center" vertical="center" wrapText="1"/>
    </xf>
    <xf numFmtId="15" fontId="11" fillId="33" borderId="40" xfId="33" applyNumberFormat="1" applyFont="1" applyFill="1" applyBorder="1" applyAlignment="1">
      <alignment horizontal="center" vertical="center" wrapText="1"/>
    </xf>
    <xf numFmtId="0" fontId="11" fillId="33" borderId="18" xfId="33" applyFont="1" applyFill="1" applyBorder="1" applyAlignment="1">
      <alignment horizontal="center" vertical="distributed"/>
    </xf>
    <xf numFmtId="0" fontId="5" fillId="40" borderId="15" xfId="33" applyFont="1" applyFill="1" applyBorder="1" applyAlignment="1">
      <alignment horizontal="center"/>
    </xf>
    <xf numFmtId="0" fontId="5" fillId="40" borderId="16" xfId="33" applyFont="1" applyFill="1" applyBorder="1" applyAlignment="1">
      <alignment horizontal="center"/>
    </xf>
    <xf numFmtId="0" fontId="5" fillId="40" borderId="13" xfId="33" applyFont="1" applyFill="1" applyBorder="1" applyAlignment="1">
      <alignment horizontal="center"/>
    </xf>
    <xf numFmtId="0" fontId="12" fillId="40" borderId="52" xfId="33" applyFont="1" applyFill="1" applyBorder="1" applyAlignment="1">
      <alignment horizontal="center"/>
    </xf>
    <xf numFmtId="0" fontId="12" fillId="40" borderId="53" xfId="33" applyFont="1" applyFill="1" applyBorder="1" applyAlignment="1">
      <alignment horizontal="center"/>
    </xf>
    <xf numFmtId="0" fontId="12" fillId="40" borderId="54" xfId="33" applyFont="1" applyFill="1" applyBorder="1" applyAlignment="1">
      <alignment horizontal="center"/>
    </xf>
    <xf numFmtId="0" fontId="10" fillId="40" borderId="78" xfId="33" applyFont="1" applyFill="1" applyBorder="1" applyAlignment="1">
      <alignment horizontal="center" vertical="center" wrapText="1"/>
    </xf>
    <xf numFmtId="0" fontId="10" fillId="40" borderId="79" xfId="33" applyFont="1" applyFill="1" applyBorder="1" applyAlignment="1">
      <alignment horizontal="center" vertical="center" wrapText="1"/>
    </xf>
    <xf numFmtId="0" fontId="10" fillId="40" borderId="18" xfId="33" applyFont="1" applyFill="1" applyBorder="1" applyAlignment="1">
      <alignment horizontal="center" vertical="center" wrapText="1"/>
    </xf>
    <xf numFmtId="0" fontId="10" fillId="40" borderId="20" xfId="33" applyFont="1" applyFill="1" applyBorder="1" applyAlignment="1">
      <alignment horizontal="center" vertical="center" wrapText="1"/>
    </xf>
    <xf numFmtId="0" fontId="10" fillId="40" borderId="80" xfId="33" applyFont="1" applyFill="1" applyBorder="1" applyAlignment="1">
      <alignment horizontal="center" vertical="center" wrapText="1"/>
    </xf>
    <xf numFmtId="10" fontId="11" fillId="33" borderId="20" xfId="58" applyNumberFormat="1" applyFont="1" applyFill="1" applyBorder="1" applyAlignment="1">
      <alignment horizontal="center" vertical="center"/>
    </xf>
    <xf numFmtId="10" fontId="11" fillId="33" borderId="40" xfId="58" applyNumberFormat="1" applyFont="1" applyFill="1" applyBorder="1" applyAlignment="1">
      <alignment horizontal="center" vertical="center"/>
    </xf>
    <xf numFmtId="10" fontId="11" fillId="33" borderId="19" xfId="58" applyNumberFormat="1" applyFont="1" applyFill="1" applyBorder="1" applyAlignment="1">
      <alignment horizontal="center" vertical="center"/>
    </xf>
    <xf numFmtId="3" fontId="11" fillId="33" borderId="18" xfId="33" applyNumberFormat="1" applyFont="1" applyFill="1" applyBorder="1" applyAlignment="1">
      <alignment horizontal="center"/>
    </xf>
    <xf numFmtId="0" fontId="18" fillId="42" borderId="15" xfId="35" applyFont="1" applyFill="1" applyBorder="1" applyAlignment="1">
      <alignment horizontal="center"/>
    </xf>
    <xf numFmtId="0" fontId="18" fillId="42" borderId="16" xfId="35" applyFont="1" applyFill="1" applyBorder="1" applyAlignment="1">
      <alignment horizontal="center"/>
    </xf>
    <xf numFmtId="0" fontId="18" fillId="42" borderId="13" xfId="35" applyFont="1" applyFill="1" applyBorder="1" applyAlignment="1">
      <alignment horizontal="center"/>
    </xf>
    <xf numFmtId="0" fontId="19" fillId="42" borderId="18" xfId="35" applyFont="1" applyFill="1" applyBorder="1" applyAlignment="1">
      <alignment horizontal="center"/>
    </xf>
    <xf numFmtId="0" fontId="20" fillId="42" borderId="18" xfId="35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ANCLAS,REZONES Y SUS PARTES,DE FUNDICION,DE HIERRO O DE ACERO_TITULARIZACIONES Ago-2013" xfId="34"/>
    <cellStyle name="ANCLAS,REZONES Y SUS PARTES,DE FUNDICION,DE HIERRO O DE ACERO_TITULARIZACIONES Ene-2013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8"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2"/>
      </font>
    </dxf>
    <dxf>
      <font>
        <color indexed="8"/>
      </font>
      <fill>
        <patternFill>
          <bgColor indexed="10"/>
        </patternFill>
      </fill>
    </dxf>
    <dxf>
      <font>
        <color indexed="8"/>
      </font>
      <fill>
        <patternFill>
          <bgColor indexed="10"/>
        </patternFill>
      </fill>
    </dxf>
    <dxf>
      <font>
        <color auto="1"/>
      </font>
      <fill>
        <patternFill>
          <bgColor indexed="22"/>
        </patternFill>
      </fill>
    </dxf>
    <dxf>
      <font>
        <color indexed="12"/>
      </font>
    </dxf>
    <dxf>
      <font>
        <color indexed="8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975"/>
          <c:w val="0.92275"/>
          <c:h val="0.9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1'!$E$17</c:f>
              <c:strCache>
                <c:ptCount val="1"/>
                <c:pt idx="0">
                  <c:v>Valor Efectivo Total Negociado (USD)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1'!$D$18:$D$20</c:f>
              <c:strCache/>
            </c:strRef>
          </c:cat>
          <c:val>
            <c:numRef>
              <c:f>'Pg 1'!$E$18:$E$20</c:f>
              <c:numCache/>
            </c:numRef>
          </c:val>
        </c:ser>
        <c:overlap val="10"/>
        <c:gapWidth val="70"/>
        <c:axId val="23292263"/>
        <c:axId val="8303776"/>
      </c:barChart>
      <c:lineChart>
        <c:grouping val="standard"/>
        <c:varyColors val="0"/>
        <c:ser>
          <c:idx val="2"/>
          <c:order val="1"/>
          <c:tx>
            <c:strRef>
              <c:f>'Pg 1'!$F$17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'Pg 1'!$D$18:$E$20</c:f>
              <c:multiLvlStrCache/>
            </c:multiLvlStrRef>
          </c:cat>
          <c:val>
            <c:numRef>
              <c:f>'Pg 1'!$F$18:$F$20</c:f>
              <c:numCache/>
            </c:numRef>
          </c:val>
          <c:smooth val="0"/>
        </c:ser>
        <c:axId val="7625121"/>
        <c:axId val="1517226"/>
      </c:lineChart>
      <c:catAx>
        <c:axId val="23292263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03776"/>
        <c:crosses val="autoZero"/>
        <c:auto val="0"/>
        <c:lblOffset val="100"/>
        <c:tickLblSkip val="1"/>
        <c:noMultiLvlLbl val="0"/>
      </c:catAx>
      <c:valAx>
        <c:axId val="8303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292263"/>
        <c:crossesAt val="1"/>
        <c:crossBetween val="between"/>
        <c:dispUnits>
          <c:builtInUnit val="millions"/>
        </c:dispUnits>
      </c:valAx>
      <c:catAx>
        <c:axId val="7625121"/>
        <c:scaling>
          <c:orientation val="minMax"/>
        </c:scaling>
        <c:axPos val="b"/>
        <c:delete val="1"/>
        <c:majorTickMark val="out"/>
        <c:minorTickMark val="none"/>
        <c:tickLblPos val="nextTo"/>
        <c:crossAx val="1517226"/>
        <c:crosses val="autoZero"/>
        <c:auto val="0"/>
        <c:lblOffset val="100"/>
        <c:tickLblSkip val="1"/>
        <c:noMultiLvlLbl val="0"/>
      </c:catAx>
      <c:valAx>
        <c:axId val="151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2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625121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15"/>
          <c:y val="0.92675"/>
          <c:w val="0.74125"/>
          <c:h val="0.06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505"/>
          <c:w val="0.93875"/>
          <c:h val="0.83475"/>
        </c:manualLayout>
      </c:layout>
      <c:barChart>
        <c:barDir val="bar"/>
        <c:grouping val="clustered"/>
        <c:varyColors val="0"/>
        <c:ser>
          <c:idx val="0"/>
          <c:order val="0"/>
          <c:tx>
            <c:v>Transacciones</c:v>
          </c:tx>
          <c:spPr>
            <a:solidFill>
              <a:srgbClr val="C81C2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5'!$F$32:$G$32</c:f>
              <c:strCache/>
            </c:strRef>
          </c:cat>
          <c:val>
            <c:numRef>
              <c:f>'Pg 5'!$F$33:$G$33</c:f>
              <c:numCache/>
            </c:numRef>
          </c:val>
        </c:ser>
        <c:gapWidth val="70"/>
        <c:axId val="921153"/>
        <c:axId val="8290378"/>
      </c:barChart>
      <c:catAx>
        <c:axId val="921153"/>
        <c:scaling>
          <c:orientation val="minMax"/>
        </c:scaling>
        <c:axPos val="l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378"/>
        <c:crossesAt val="0"/>
        <c:auto val="0"/>
        <c:lblOffset val="100"/>
        <c:tickLblSkip val="1"/>
        <c:noMultiLvlLbl val="0"/>
      </c:catAx>
      <c:valAx>
        <c:axId val="82903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Transacciones</a:t>
                </a:r>
              </a:p>
            </c:rich>
          </c:tx>
          <c:layout>
            <c:manualLayout>
              <c:xMode val="factor"/>
              <c:yMode val="factor"/>
              <c:x val="0.109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153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31"/>
          <c:w val="0.939"/>
          <c:h val="0.83875"/>
        </c:manualLayout>
      </c:layout>
      <c:barChart>
        <c:barDir val="bar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C81C2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5'!$F$52:$G$52</c:f>
              <c:strCache/>
            </c:strRef>
          </c:cat>
          <c:val>
            <c:numRef>
              <c:f>'Pg 5'!$F$53:$G$53</c:f>
              <c:numCache/>
            </c:numRef>
          </c:val>
        </c:ser>
        <c:gapWidth val="70"/>
        <c:axId val="7504539"/>
        <c:axId val="431988"/>
      </c:barChart>
      <c:catAx>
        <c:axId val="7504539"/>
        <c:scaling>
          <c:orientation val="minMax"/>
        </c:scaling>
        <c:axPos val="l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988"/>
        <c:crossesAt val="0"/>
        <c:auto val="0"/>
        <c:lblOffset val="100"/>
        <c:tickLblSkip val="1"/>
        <c:noMultiLvlLbl val="0"/>
      </c:catAx>
      <c:valAx>
        <c:axId val="4319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Transacciones</a:t>
                </a:r>
              </a:p>
            </c:rich>
          </c:tx>
          <c:layout>
            <c:manualLayout>
              <c:xMode val="factor"/>
              <c:yMode val="factor"/>
              <c:x val="0.1072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0453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037"/>
          <c:w val="0.7465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'Pg 6'!$F$7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6'!$E$8:$E$19</c:f>
              <c:strCache/>
            </c:strRef>
          </c:cat>
          <c:val>
            <c:numRef>
              <c:f>'Pg 6'!$F$8:$F$19</c:f>
              <c:numCache/>
            </c:numRef>
          </c:val>
          <c:smooth val="0"/>
        </c:ser>
        <c:ser>
          <c:idx val="1"/>
          <c:order val="1"/>
          <c:tx>
            <c:strRef>
              <c:f>'Pg 6'!$G$7</c:f>
              <c:strCache>
                <c:ptCount val="1"/>
                <c:pt idx="0">
                  <c:v>TASA ACTIVA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'Pg 6'!$E$8:$E$19</c:f>
              <c:strCache/>
            </c:strRef>
          </c:cat>
          <c:val>
            <c:numRef>
              <c:f>'Pg 6'!$G$8:$G$19</c:f>
              <c:numCache/>
            </c:numRef>
          </c:val>
          <c:smooth val="0"/>
        </c:ser>
        <c:marker val="1"/>
        <c:axId val="3887893"/>
        <c:axId val="34991038"/>
      </c:lineChart>
      <c:dateAx>
        <c:axId val="38878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910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991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7893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90325"/>
          <c:w val="0.231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1375"/>
          <c:w val="0.72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'Pg 6'!$F$41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6'!$E$42:$E$53</c:f>
              <c:strCache/>
            </c:strRef>
          </c:cat>
          <c:val>
            <c:numRef>
              <c:f>'Pg 6'!$F$42:$F$53</c:f>
              <c:numCache/>
            </c:numRef>
          </c:val>
          <c:smooth val="0"/>
        </c:ser>
        <c:ser>
          <c:idx val="1"/>
          <c:order val="1"/>
          <c:tx>
            <c:strRef>
              <c:f>'Pg 6'!$G$41</c:f>
              <c:strCache>
                <c:ptCount val="1"/>
                <c:pt idx="0">
                  <c:v>TASA PASIVA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'Pg 6'!$E$42:$E$53</c:f>
              <c:strCache/>
            </c:strRef>
          </c:cat>
          <c:val>
            <c:numRef>
              <c:f>'Pg 6'!$G$42:$G$53</c:f>
              <c:numCache/>
            </c:numRef>
          </c:val>
          <c:smooth val="0"/>
        </c:ser>
        <c:marker val="1"/>
        <c:axId val="46483887"/>
        <c:axId val="15701800"/>
      </c:lineChart>
      <c:dateAx>
        <c:axId val="464838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0180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5701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83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25"/>
          <c:y val="0.9"/>
          <c:w val="0.2352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975"/>
          <c:w val="0.91925"/>
          <c:h val="0.9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1'!$E$43</c:f>
              <c:strCache>
                <c:ptCount val="1"/>
                <c:pt idx="0">
                  <c:v>Valor Efectivo Total Negociado (USD)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1'!$D$44:$D$45</c:f>
              <c:strCache/>
            </c:strRef>
          </c:cat>
          <c:val>
            <c:numRef>
              <c:f>'Pg 1'!$E$44:$E$45</c:f>
              <c:numCache/>
            </c:numRef>
          </c:val>
        </c:ser>
        <c:overlap val="10"/>
        <c:gapWidth val="70"/>
        <c:axId val="13655035"/>
        <c:axId val="55786452"/>
      </c:barChart>
      <c:lineChart>
        <c:grouping val="standard"/>
        <c:varyColors val="0"/>
        <c:ser>
          <c:idx val="2"/>
          <c:order val="1"/>
          <c:tx>
            <c:strRef>
              <c:f>'Pg 1'!$F$43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1'!$D$44:$D$45</c:f>
              <c:strCache/>
            </c:strRef>
          </c:cat>
          <c:val>
            <c:numRef>
              <c:f>'Pg 1'!$F$44:$F$45</c:f>
              <c:numCache/>
            </c:numRef>
          </c:val>
          <c:smooth val="0"/>
        </c:ser>
        <c:axId val="32316021"/>
        <c:axId val="22408734"/>
      </c:lineChart>
      <c:catAx>
        <c:axId val="13655035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452"/>
        <c:crosses val="autoZero"/>
        <c:auto val="0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3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55035"/>
        <c:crossesAt val="1"/>
        <c:crossBetween val="between"/>
        <c:dispUnits>
          <c:builtInUnit val="millions"/>
        </c:dispUnits>
      </c:valAx>
      <c:catAx>
        <c:axId val="32316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2408734"/>
        <c:crosses val="autoZero"/>
        <c:auto val="0"/>
        <c:lblOffset val="100"/>
        <c:tickLblSkip val="1"/>
        <c:noMultiLvlLbl val="0"/>
      </c:catAx>
      <c:valAx>
        <c:axId val="22408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021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"/>
          <c:y val="0.92675"/>
          <c:w val="0.74"/>
          <c:h val="0.06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2475"/>
          <c:w val="0.95275"/>
          <c:h val="0.7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2'!$F$8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2'!$L$9:$M$21</c:f>
              <c:multiLvlStrCache/>
            </c:multiLvlStrRef>
          </c:cat>
          <c:val>
            <c:numRef>
              <c:f>'Pg 2'!$F$9:$F$21</c:f>
              <c:numCache/>
            </c:numRef>
          </c:val>
        </c:ser>
        <c:overlap val="10"/>
        <c:gapWidth val="70"/>
        <c:axId val="352015"/>
        <c:axId val="3168136"/>
      </c:barChart>
      <c:lineChart>
        <c:grouping val="standard"/>
        <c:varyColors val="0"/>
        <c:ser>
          <c:idx val="2"/>
          <c:order val="1"/>
          <c:tx>
            <c:strRef>
              <c:f>'Pg 2'!$G$8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2'!$M$9:$M$21</c:f>
              <c:strCache/>
            </c:strRef>
          </c:cat>
          <c:val>
            <c:numRef>
              <c:f>'Pg 2'!$G$9:$G$21</c:f>
              <c:numCache/>
            </c:numRef>
          </c:val>
          <c:smooth val="0"/>
        </c:ser>
        <c:axId val="28513225"/>
        <c:axId val="55292434"/>
      </c:lineChart>
      <c:catAx>
        <c:axId val="352015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8136"/>
        <c:crosses val="autoZero"/>
        <c:auto val="0"/>
        <c:lblOffset val="100"/>
        <c:tickLblSkip val="1"/>
        <c:noMultiLvlLbl val="0"/>
      </c:catAx>
      <c:valAx>
        <c:axId val="3168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5"/>
        <c:crossesAt val="1"/>
        <c:crossBetween val="between"/>
        <c:dispUnits>
          <c:builtInUnit val="millions"/>
        </c:dispUnits>
      </c:valAx>
      <c:catAx>
        <c:axId val="28513225"/>
        <c:scaling>
          <c:orientation val="minMax"/>
        </c:scaling>
        <c:axPos val="b"/>
        <c:delete val="1"/>
        <c:majorTickMark val="out"/>
        <c:minorTickMark val="none"/>
        <c:tickLblPos val="nextTo"/>
        <c:crossAx val="55292434"/>
        <c:crosses val="autoZero"/>
        <c:auto val="0"/>
        <c:lblOffset val="100"/>
        <c:tickLblSkip val="1"/>
        <c:noMultiLvlLbl val="0"/>
      </c:catAx>
      <c:valAx>
        <c:axId val="55292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132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525"/>
          <c:y val="0.866"/>
          <c:w val="0.46975"/>
          <c:h val="0.123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45"/>
          <c:w val="0.90025"/>
          <c:h val="0.6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2'!$F$39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'Pg 2'!$D$40:$E$42</c:f>
              <c:multiLvlStrCache/>
            </c:multiLvlStrRef>
          </c:cat>
          <c:val>
            <c:numRef>
              <c:f>'Pg 2'!$F$40:$F$42</c:f>
              <c:numCache/>
            </c:numRef>
          </c:val>
        </c:ser>
        <c:overlap val="10"/>
        <c:gapWidth val="70"/>
        <c:axId val="27869859"/>
        <c:axId val="49502140"/>
      </c:barChart>
      <c:lineChart>
        <c:grouping val="standard"/>
        <c:varyColors val="0"/>
        <c:ser>
          <c:idx val="2"/>
          <c:order val="1"/>
          <c:tx>
            <c:strRef>
              <c:f>'Pg 2'!$G$39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'Pg 2'!$D$40:$E$42</c:f>
              <c:multiLvlStrCache/>
            </c:multiLvlStrRef>
          </c:cat>
          <c:val>
            <c:numRef>
              <c:f>'Pg 2'!$G$40:$G$42</c:f>
              <c:numCache/>
            </c:numRef>
          </c:val>
          <c:smooth val="0"/>
        </c:ser>
        <c:axId val="42866077"/>
        <c:axId val="50250374"/>
      </c:lineChart>
      <c:catAx>
        <c:axId val="27869859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2140"/>
        <c:crosses val="autoZero"/>
        <c:auto val="0"/>
        <c:lblOffset val="100"/>
        <c:tickLblSkip val="1"/>
        <c:noMultiLvlLbl val="0"/>
      </c:catAx>
      <c:valAx>
        <c:axId val="49502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9859"/>
        <c:crossesAt val="1"/>
        <c:crossBetween val="between"/>
        <c:dispUnits>
          <c:builtInUnit val="millions"/>
        </c:dispUnits>
      </c:valAx>
      <c:catAx>
        <c:axId val="4286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50250374"/>
        <c:crosses val="autoZero"/>
        <c:auto val="0"/>
        <c:lblOffset val="100"/>
        <c:tickLblSkip val="1"/>
        <c:noMultiLvlLbl val="0"/>
      </c:catAx>
      <c:valAx>
        <c:axId val="502503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66077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82225"/>
          <c:w val="0.522"/>
          <c:h val="0.155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25"/>
          <c:y val="0.0015"/>
          <c:w val="0.79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3'!$F$9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3'!$M$10:$M$17</c:f>
              <c:strCache/>
            </c:strRef>
          </c:cat>
          <c:val>
            <c:numRef>
              <c:f>'Pg 3'!$F$10:$F$17</c:f>
              <c:numCache/>
            </c:numRef>
          </c:val>
        </c:ser>
        <c:overlap val="10"/>
        <c:gapWidth val="70"/>
        <c:axId val="49600183"/>
        <c:axId val="43748464"/>
      </c:barChart>
      <c:lineChart>
        <c:grouping val="standard"/>
        <c:varyColors val="0"/>
        <c:ser>
          <c:idx val="2"/>
          <c:order val="1"/>
          <c:tx>
            <c:strRef>
              <c:f>'Pg 3'!$G$9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3'!$M$10:$M$17</c:f>
              <c:strCache/>
            </c:strRef>
          </c:cat>
          <c:val>
            <c:numRef>
              <c:f>'Pg 3'!$G$10:$G$17</c:f>
              <c:numCache/>
            </c:numRef>
          </c:val>
          <c:smooth val="0"/>
        </c:ser>
        <c:axId val="58191857"/>
        <c:axId val="53964666"/>
      </c:lineChart>
      <c:catAx>
        <c:axId val="49600183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48464"/>
        <c:crosses val="autoZero"/>
        <c:auto val="0"/>
        <c:lblOffset val="100"/>
        <c:tickLblSkip val="1"/>
        <c:noMultiLvlLbl val="0"/>
      </c:catAx>
      <c:valAx>
        <c:axId val="43748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00183"/>
        <c:crossesAt val="1"/>
        <c:crossBetween val="between"/>
        <c:dispUnits>
          <c:builtInUnit val="millions"/>
        </c:dispUnits>
      </c:valAx>
      <c:catAx>
        <c:axId val="58191857"/>
        <c:scaling>
          <c:orientation val="minMax"/>
        </c:scaling>
        <c:axPos val="b"/>
        <c:delete val="1"/>
        <c:majorTickMark val="out"/>
        <c:minorTickMark val="none"/>
        <c:tickLblPos val="nextTo"/>
        <c:crossAx val="53964666"/>
        <c:crosses val="autoZero"/>
        <c:auto val="0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91857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545"/>
          <c:y val="0.901"/>
          <c:w val="0.52675"/>
          <c:h val="0.099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675"/>
          <c:w val="0.9325"/>
          <c:h val="0.7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'Pg 3'!$F$37</c:f>
              <c:strCache>
                <c:ptCount val="1"/>
                <c:pt idx="0">
                  <c:v>VALOR EFECTIVO ($)</c:v>
                </c:pt>
              </c:strCache>
            </c:strRef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('Pg 3'!$D$38,'Pg 3'!$D$40)</c:f>
              <c:strCache/>
            </c:strRef>
          </c:cat>
          <c:val>
            <c:numRef>
              <c:f>'Pg 3'!$F$38:$F$40</c:f>
              <c:numCache/>
            </c:numRef>
          </c:val>
        </c:ser>
        <c:overlap val="10"/>
        <c:gapWidth val="70"/>
        <c:axId val="15919947"/>
        <c:axId val="9061796"/>
      </c:barChart>
      <c:lineChart>
        <c:grouping val="standard"/>
        <c:varyColors val="0"/>
        <c:ser>
          <c:idx val="2"/>
          <c:order val="1"/>
          <c:tx>
            <c:strRef>
              <c:f>'Pg 3'!$G$37</c:f>
              <c:strCache>
                <c:ptCount val="1"/>
                <c:pt idx="0">
                  <c:v>TEA Promedio Ponderada (%)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3'!$D$38:$D$40</c:f>
              <c:strCache/>
            </c:strRef>
          </c:cat>
          <c:val>
            <c:numRef>
              <c:f>'Pg 3'!$G$38:$G$40</c:f>
              <c:numCache/>
            </c:numRef>
          </c:val>
          <c:smooth val="0"/>
        </c:ser>
        <c:axId val="14447301"/>
        <c:axId val="62916846"/>
      </c:lineChart>
      <c:catAx>
        <c:axId val="15919947"/>
        <c:scaling>
          <c:orientation val="minMax"/>
        </c:scaling>
        <c:axPos val="b"/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1796"/>
        <c:crosses val="autoZero"/>
        <c:auto val="0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9947"/>
        <c:crossesAt val="1"/>
        <c:crossBetween val="between"/>
        <c:dispUnits>
          <c:builtInUnit val="millions"/>
        </c:dispUnits>
      </c:valAx>
      <c:catAx>
        <c:axId val="14447301"/>
        <c:scaling>
          <c:orientation val="minMax"/>
        </c:scaling>
        <c:axPos val="b"/>
        <c:delete val="1"/>
        <c:majorTickMark val="out"/>
        <c:minorTickMark val="none"/>
        <c:tickLblPos val="nextTo"/>
        <c:crossAx val="62916846"/>
        <c:crosses val="autoZero"/>
        <c:auto val="0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47301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375"/>
          <c:y val="0.817"/>
          <c:w val="0.5585"/>
          <c:h val="0.1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3475"/>
          <c:w val="0.915"/>
          <c:h val="0.8137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4'!$F$13:$G$13</c:f>
              <c:strCache/>
            </c:strRef>
          </c:cat>
          <c:val>
            <c:numRef>
              <c:f>('Pg 4'!$F$8,'Pg 4'!$H$8)</c:f>
              <c:numCache/>
            </c:numRef>
          </c:val>
        </c:ser>
        <c:overlap val="10"/>
        <c:gapWidth val="70"/>
        <c:axId val="29380703"/>
        <c:axId val="63099736"/>
      </c:barChart>
      <c:lineChart>
        <c:grouping val="standard"/>
        <c:varyColors val="0"/>
        <c:ser>
          <c:idx val="2"/>
          <c:order val="1"/>
          <c:tx>
            <c:v>Rendimiento Promedio Ponderado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4'!$F$13:$G$13</c:f>
              <c:strCache/>
            </c:strRef>
          </c:cat>
          <c:val>
            <c:numRef>
              <c:f>('Pg 4'!$G$8,'Pg 4'!$I$8)</c:f>
              <c:numCache/>
            </c:numRef>
          </c:val>
          <c:smooth val="0"/>
        </c:ser>
        <c:axId val="31026713"/>
        <c:axId val="10804962"/>
      </c:lineChart>
      <c:catAx>
        <c:axId val="29380703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9736"/>
        <c:crosses val="autoZero"/>
        <c:auto val="0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0703"/>
        <c:crossesAt val="1"/>
        <c:crossBetween val="between"/>
        <c:dispUnits>
          <c:builtInUnit val="millions"/>
        </c:dispUnits>
      </c:valAx>
      <c:catAx>
        <c:axId val="31026713"/>
        <c:scaling>
          <c:orientation val="minMax"/>
        </c:scaling>
        <c:axPos val="b"/>
        <c:delete val="1"/>
        <c:majorTickMark val="out"/>
        <c:minorTickMark val="none"/>
        <c:tickLblPos val="nextTo"/>
        <c:crossAx val="10804962"/>
        <c:crosses val="autoZero"/>
        <c:auto val="0"/>
        <c:lblOffset val="100"/>
        <c:tickLblSkip val="1"/>
        <c:noMultiLvlLbl val="0"/>
      </c:catAx>
      <c:valAx>
        <c:axId val="1080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26713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725"/>
          <c:y val="0.83975"/>
          <c:w val="0.29175"/>
          <c:h val="0.15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51"/>
          <c:w val="0.9155"/>
          <c:h val="0.8255"/>
        </c:manualLayout>
      </c:layout>
      <c:barChart>
        <c:barDir val="col"/>
        <c:grouping val="clustered"/>
        <c:varyColors val="0"/>
        <c:ser>
          <c:idx val="1"/>
          <c:order val="0"/>
          <c:tx>
            <c:v>VE</c:v>
          </c:tx>
          <c:spPr>
            <a:solidFill>
              <a:srgbClr val="23357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4'!$F$48:$G$48</c:f>
              <c:strCache/>
            </c:strRef>
          </c:cat>
          <c:val>
            <c:numRef>
              <c:f>('Pg 4'!$F$43,'Pg 4'!$H$43)</c:f>
              <c:numCache/>
            </c:numRef>
          </c:val>
        </c:ser>
        <c:overlap val="10"/>
        <c:gapWidth val="70"/>
        <c:axId val="30135795"/>
        <c:axId val="2786700"/>
      </c:barChart>
      <c:lineChart>
        <c:grouping val="standard"/>
        <c:varyColors val="0"/>
        <c:ser>
          <c:idx val="2"/>
          <c:order val="1"/>
          <c:tx>
            <c:v>Rendimiento Promedio Ponderado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'Pg 4'!$F$48:$G$48</c:f>
              <c:strCache/>
            </c:strRef>
          </c:cat>
          <c:val>
            <c:numRef>
              <c:f>('Pg 4'!$G$43,'Pg 4'!$I$43)</c:f>
              <c:numCache/>
            </c:numRef>
          </c:val>
          <c:smooth val="0"/>
        </c:ser>
        <c:axId val="25080301"/>
        <c:axId val="24396118"/>
      </c:lineChart>
      <c:catAx>
        <c:axId val="30135795"/>
        <c:scaling>
          <c:orientation val="minMax"/>
        </c:scaling>
        <c:axPos val="b"/>
        <c:delete val="0"/>
        <c:numFmt formatCode="mmm-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6700"/>
        <c:crosses val="autoZero"/>
        <c:auto val="0"/>
        <c:lblOffset val="100"/>
        <c:tickLblSkip val="1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(USD Millones)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##,000_);_(* \(###,00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35795"/>
        <c:crossesAt val="1"/>
        <c:crossBetween val="between"/>
        <c:dispUnits>
          <c:builtInUnit val="millions"/>
        </c:dispUnits>
      </c:valAx>
      <c:catAx>
        <c:axId val="25080301"/>
        <c:scaling>
          <c:orientation val="minMax"/>
        </c:scaling>
        <c:axPos val="b"/>
        <c:delete val="1"/>
        <c:majorTickMark val="out"/>
        <c:minorTickMark val="none"/>
        <c:tickLblPos val="nextTo"/>
        <c:crossAx val="24396118"/>
        <c:crosses val="autoZero"/>
        <c:auto val="0"/>
        <c:lblOffset val="100"/>
        <c:tickLblSkip val="1"/>
        <c:noMultiLvlLbl val="0"/>
      </c:catAx>
      <c:valAx>
        <c:axId val="2439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80301"/>
        <c:crosses val="max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62"/>
          <c:y val="0.87675"/>
          <c:w val="0.2955"/>
          <c:h val="0.123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7175"/>
          <c:w val="0.92175"/>
          <c:h val="0.8265"/>
        </c:manualLayout>
      </c:layout>
      <c:barChart>
        <c:barDir val="col"/>
        <c:grouping val="clustered"/>
        <c:varyColors val="0"/>
        <c:ser>
          <c:idx val="1"/>
          <c:order val="0"/>
          <c:tx>
            <c:v>Transacciones</c:v>
          </c:tx>
          <c:spPr>
            <a:solidFill>
              <a:srgbClr val="C81C24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'Pg 5'!$H$7:$I$7</c:f>
              <c:strCache/>
            </c:strRef>
          </c:cat>
          <c:val>
            <c:numRef>
              <c:f>'Pg 5'!$H$8:$I$8</c:f>
              <c:numCache/>
            </c:numRef>
          </c:val>
        </c:ser>
        <c:gapWidth val="75"/>
        <c:axId val="18238471"/>
        <c:axId val="29928512"/>
      </c:barChart>
      <c:catAx>
        <c:axId val="18238471"/>
        <c:scaling>
          <c:orientation val="minMax"/>
        </c:scaling>
        <c:axPos val="b"/>
        <c:delete val="0"/>
        <c:numFmt formatCode="mmm\-\y\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8512"/>
        <c:crosses val="autoZero"/>
        <c:auto val="0"/>
        <c:lblOffset val="100"/>
        <c:tickLblSkip val="1"/>
        <c:noMultiLvlLbl val="0"/>
      </c:catAx>
      <c:valAx>
        <c:axId val="29928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3847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96"/>
          <c:y val="0.91475"/>
          <c:w val="0.203"/>
          <c:h val="0.0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9</xdr:row>
      <xdr:rowOff>76200</xdr:rowOff>
    </xdr:from>
    <xdr:to>
      <xdr:col>7</xdr:col>
      <xdr:colOff>304800</xdr:colOff>
      <xdr:row>20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428750"/>
          <a:ext cx="40290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21</xdr:row>
      <xdr:rowOff>57150</xdr:rowOff>
    </xdr:from>
    <xdr:to>
      <xdr:col>8</xdr:col>
      <xdr:colOff>276225</xdr:colOff>
      <xdr:row>33</xdr:row>
      <xdr:rowOff>85725</xdr:rowOff>
    </xdr:to>
    <xdr:graphicFrame>
      <xdr:nvGraphicFramePr>
        <xdr:cNvPr id="1" name="Gráfico 1"/>
        <xdr:cNvGraphicFramePr/>
      </xdr:nvGraphicFramePr>
      <xdr:xfrm>
        <a:off x="685800" y="4562475"/>
        <a:ext cx="6610350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438150</xdr:colOff>
      <xdr:row>47</xdr:row>
      <xdr:rowOff>66675</xdr:rowOff>
    </xdr:from>
    <xdr:to>
      <xdr:col>8</xdr:col>
      <xdr:colOff>200025</xdr:colOff>
      <xdr:row>59</xdr:row>
      <xdr:rowOff>95250</xdr:rowOff>
    </xdr:to>
    <xdr:graphicFrame>
      <xdr:nvGraphicFramePr>
        <xdr:cNvPr id="2" name="Gráfico 1"/>
        <xdr:cNvGraphicFramePr/>
      </xdr:nvGraphicFramePr>
      <xdr:xfrm>
        <a:off x="676275" y="9134475"/>
        <a:ext cx="65436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22</xdr:row>
      <xdr:rowOff>104775</xdr:rowOff>
    </xdr:from>
    <xdr:to>
      <xdr:col>10</xdr:col>
      <xdr:colOff>57150</xdr:colOff>
      <xdr:row>34</xdr:row>
      <xdr:rowOff>152400</xdr:rowOff>
    </xdr:to>
    <xdr:graphicFrame>
      <xdr:nvGraphicFramePr>
        <xdr:cNvPr id="1" name="Gráfico 1"/>
        <xdr:cNvGraphicFramePr/>
      </xdr:nvGraphicFramePr>
      <xdr:xfrm>
        <a:off x="685800" y="4171950"/>
        <a:ext cx="79724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44</xdr:row>
      <xdr:rowOff>9525</xdr:rowOff>
    </xdr:from>
    <xdr:to>
      <xdr:col>9</xdr:col>
      <xdr:colOff>66675</xdr:colOff>
      <xdr:row>55</xdr:row>
      <xdr:rowOff>76200</xdr:rowOff>
    </xdr:to>
    <xdr:graphicFrame>
      <xdr:nvGraphicFramePr>
        <xdr:cNvPr id="2" name="Gráfico 3"/>
        <xdr:cNvGraphicFramePr/>
      </xdr:nvGraphicFramePr>
      <xdr:xfrm>
        <a:off x="838200" y="8029575"/>
        <a:ext cx="747712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18</xdr:row>
      <xdr:rowOff>104775</xdr:rowOff>
    </xdr:from>
    <xdr:to>
      <xdr:col>9</xdr:col>
      <xdr:colOff>114300</xdr:colOff>
      <xdr:row>31</xdr:row>
      <xdr:rowOff>114300</xdr:rowOff>
    </xdr:to>
    <xdr:graphicFrame>
      <xdr:nvGraphicFramePr>
        <xdr:cNvPr id="1" name="Gráfico 1"/>
        <xdr:cNvGraphicFramePr/>
      </xdr:nvGraphicFramePr>
      <xdr:xfrm>
        <a:off x="809625" y="3400425"/>
        <a:ext cx="70104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43</xdr:row>
      <xdr:rowOff>114300</xdr:rowOff>
    </xdr:from>
    <xdr:to>
      <xdr:col>9</xdr:col>
      <xdr:colOff>247650</xdr:colOff>
      <xdr:row>52</xdr:row>
      <xdr:rowOff>85725</xdr:rowOff>
    </xdr:to>
    <xdr:graphicFrame>
      <xdr:nvGraphicFramePr>
        <xdr:cNvPr id="2" name="Gráfico 3"/>
        <xdr:cNvGraphicFramePr/>
      </xdr:nvGraphicFramePr>
      <xdr:xfrm>
        <a:off x="790575" y="7572375"/>
        <a:ext cx="7162800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11</xdr:row>
      <xdr:rowOff>152400</xdr:rowOff>
    </xdr:from>
    <xdr:to>
      <xdr:col>9</xdr:col>
      <xdr:colOff>19050</xdr:colOff>
      <xdr:row>28</xdr:row>
      <xdr:rowOff>9525</xdr:rowOff>
    </xdr:to>
    <xdr:graphicFrame>
      <xdr:nvGraphicFramePr>
        <xdr:cNvPr id="1" name="Gráfico 2"/>
        <xdr:cNvGraphicFramePr/>
      </xdr:nvGraphicFramePr>
      <xdr:xfrm>
        <a:off x="1038225" y="2562225"/>
        <a:ext cx="67246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44</xdr:row>
      <xdr:rowOff>114300</xdr:rowOff>
    </xdr:from>
    <xdr:to>
      <xdr:col>8</xdr:col>
      <xdr:colOff>942975</xdr:colOff>
      <xdr:row>60</xdr:row>
      <xdr:rowOff>57150</xdr:rowOff>
    </xdr:to>
    <xdr:graphicFrame>
      <xdr:nvGraphicFramePr>
        <xdr:cNvPr id="2" name="Gráfico 3"/>
        <xdr:cNvGraphicFramePr/>
      </xdr:nvGraphicFramePr>
      <xdr:xfrm>
        <a:off x="1019175" y="8477250"/>
        <a:ext cx="66294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</xdr:row>
      <xdr:rowOff>0</xdr:rowOff>
    </xdr:from>
    <xdr:to>
      <xdr:col>9</xdr:col>
      <xdr:colOff>304800</xdr:colOff>
      <xdr:row>28</xdr:row>
      <xdr:rowOff>28575</xdr:rowOff>
    </xdr:to>
    <xdr:graphicFrame>
      <xdr:nvGraphicFramePr>
        <xdr:cNvPr id="1" name="Gráfico 1"/>
        <xdr:cNvGraphicFramePr/>
      </xdr:nvGraphicFramePr>
      <xdr:xfrm>
        <a:off x="790575" y="1647825"/>
        <a:ext cx="57150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266700</xdr:colOff>
      <xdr:row>33</xdr:row>
      <xdr:rowOff>114300</xdr:rowOff>
    </xdr:from>
    <xdr:to>
      <xdr:col>8</xdr:col>
      <xdr:colOff>676275</xdr:colOff>
      <xdr:row>48</xdr:row>
      <xdr:rowOff>66675</xdr:rowOff>
    </xdr:to>
    <xdr:graphicFrame>
      <xdr:nvGraphicFramePr>
        <xdr:cNvPr id="2" name="Gráfico 2"/>
        <xdr:cNvGraphicFramePr/>
      </xdr:nvGraphicFramePr>
      <xdr:xfrm>
        <a:off x="885825" y="5676900"/>
        <a:ext cx="5067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54</xdr:row>
      <xdr:rowOff>76200</xdr:rowOff>
    </xdr:from>
    <xdr:to>
      <xdr:col>8</xdr:col>
      <xdr:colOff>600075</xdr:colOff>
      <xdr:row>68</xdr:row>
      <xdr:rowOff>152400</xdr:rowOff>
    </xdr:to>
    <xdr:graphicFrame>
      <xdr:nvGraphicFramePr>
        <xdr:cNvPr id="3" name="Gráfico 3"/>
        <xdr:cNvGraphicFramePr/>
      </xdr:nvGraphicFramePr>
      <xdr:xfrm>
        <a:off x="866775" y="9182100"/>
        <a:ext cx="5010150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22</xdr:row>
      <xdr:rowOff>57150</xdr:rowOff>
    </xdr:from>
    <xdr:to>
      <xdr:col>9</xdr:col>
      <xdr:colOff>190500</xdr:colOff>
      <xdr:row>37</xdr:row>
      <xdr:rowOff>76200</xdr:rowOff>
    </xdr:to>
    <xdr:graphicFrame>
      <xdr:nvGraphicFramePr>
        <xdr:cNvPr id="1" name="Gráfico 1"/>
        <xdr:cNvGraphicFramePr/>
      </xdr:nvGraphicFramePr>
      <xdr:xfrm>
        <a:off x="876300" y="3895725"/>
        <a:ext cx="63341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95250</xdr:colOff>
      <xdr:row>54</xdr:row>
      <xdr:rowOff>123825</xdr:rowOff>
    </xdr:from>
    <xdr:to>
      <xdr:col>9</xdr:col>
      <xdr:colOff>352425</xdr:colOff>
      <xdr:row>69</xdr:row>
      <xdr:rowOff>66675</xdr:rowOff>
    </xdr:to>
    <xdr:graphicFrame>
      <xdr:nvGraphicFramePr>
        <xdr:cNvPr id="2" name="Gráfico 2"/>
        <xdr:cNvGraphicFramePr/>
      </xdr:nvGraphicFramePr>
      <xdr:xfrm>
        <a:off x="847725" y="9334500"/>
        <a:ext cx="65246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0</xdr:row>
      <xdr:rowOff>66675</xdr:rowOff>
    </xdr:from>
    <xdr:to>
      <xdr:col>5</xdr:col>
      <xdr:colOff>600075</xdr:colOff>
      <xdr:row>0</xdr:row>
      <xdr:rowOff>66675</xdr:rowOff>
    </xdr:to>
    <xdr:sp>
      <xdr:nvSpPr>
        <xdr:cNvPr id="1" name="Line 2"/>
        <xdr:cNvSpPr>
          <a:spLocks/>
        </xdr:cNvSpPr>
      </xdr:nvSpPr>
      <xdr:spPr>
        <a:xfrm>
          <a:off x="7467600" y="6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1133475</xdr:colOff>
      <xdr:row>0</xdr:row>
      <xdr:rowOff>66675</xdr:rowOff>
    </xdr:from>
    <xdr:to>
      <xdr:col>5</xdr:col>
      <xdr:colOff>600075</xdr:colOff>
      <xdr:row>0</xdr:row>
      <xdr:rowOff>66675</xdr:rowOff>
    </xdr:to>
    <xdr:sp>
      <xdr:nvSpPr>
        <xdr:cNvPr id="1" name="Line 2"/>
        <xdr:cNvSpPr>
          <a:spLocks/>
        </xdr:cNvSpPr>
      </xdr:nvSpPr>
      <xdr:spPr>
        <a:xfrm>
          <a:off x="7800975" y="66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vq-def-val-02.bvq.fin\Estadistico\Estadisticas%20y%20Presentaciones\BOLETINES%20VALORES\macro%20boletines%20valor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dequit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correa@bolsadequito.com" TargetMode="External" /><Relationship Id="rId2" Type="http://schemas.openxmlformats.org/officeDocument/2006/relationships/hyperlink" Target="mailto:sebastianjacome@bolsadequito.com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showGridLines="0" tabSelected="1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238" customWidth="1"/>
    <col min="2" max="2" width="15.7109375" style="238" customWidth="1"/>
    <col min="3" max="3" width="15.8515625" style="238" customWidth="1"/>
    <col min="4" max="4" width="16.00390625" style="238" customWidth="1"/>
    <col min="5" max="6" width="11.421875" style="238" customWidth="1"/>
    <col min="7" max="7" width="16.00390625" style="238" customWidth="1"/>
    <col min="8" max="8" width="15.8515625" style="238" customWidth="1"/>
    <col min="9" max="9" width="15.7109375" style="238" customWidth="1"/>
    <col min="10" max="10" width="3.57421875" style="238" customWidth="1"/>
    <col min="11" max="11" width="3.140625" style="238" customWidth="1"/>
    <col min="12" max="16384" width="11.421875" style="238" hidden="1" customWidth="1"/>
  </cols>
  <sheetData>
    <row r="1" spans="1:10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Top="1">
      <c r="A2" s="39"/>
      <c r="B2" s="390"/>
      <c r="C2" s="391"/>
      <c r="D2" s="391"/>
      <c r="E2" s="391"/>
      <c r="F2" s="391"/>
      <c r="G2" s="391"/>
      <c r="H2" s="391"/>
      <c r="I2" s="392"/>
      <c r="J2" s="39"/>
    </row>
    <row r="3" spans="1:10" ht="12.75">
      <c r="A3" s="39"/>
      <c r="B3" s="393"/>
      <c r="C3" s="394"/>
      <c r="D3" s="394"/>
      <c r="E3" s="394"/>
      <c r="F3" s="394"/>
      <c r="G3" s="394"/>
      <c r="H3" s="394"/>
      <c r="I3" s="395"/>
      <c r="J3" s="39"/>
    </row>
    <row r="4" spans="1:10" ht="3" customHeight="1">
      <c r="A4" s="39"/>
      <c r="B4" s="396"/>
      <c r="C4" s="397"/>
      <c r="D4" s="397"/>
      <c r="E4" s="397"/>
      <c r="F4" s="397"/>
      <c r="G4" s="397"/>
      <c r="H4" s="397"/>
      <c r="I4" s="398"/>
      <c r="J4" s="39"/>
    </row>
    <row r="5" spans="1:10" ht="12.75">
      <c r="A5" s="39"/>
      <c r="B5" s="273"/>
      <c r="C5" s="274"/>
      <c r="D5" s="274"/>
      <c r="E5" s="274"/>
      <c r="F5" s="274"/>
      <c r="G5" s="274"/>
      <c r="H5" s="274"/>
      <c r="I5" s="275"/>
      <c r="J5" s="39"/>
    </row>
    <row r="6" spans="1:10" ht="12.75">
      <c r="A6" s="39"/>
      <c r="B6" s="273"/>
      <c r="C6" s="274"/>
      <c r="D6" s="274"/>
      <c r="E6" s="274"/>
      <c r="F6" s="274"/>
      <c r="G6" s="274"/>
      <c r="H6" s="274"/>
      <c r="I6" s="275"/>
      <c r="J6" s="39"/>
    </row>
    <row r="7" spans="1:10" ht="12.75">
      <c r="A7" s="39"/>
      <c r="B7" s="273"/>
      <c r="C7" s="274"/>
      <c r="D7" s="274"/>
      <c r="E7" s="274"/>
      <c r="F7" s="274"/>
      <c r="G7" s="274"/>
      <c r="H7" s="274"/>
      <c r="I7" s="275"/>
      <c r="J7" s="39"/>
    </row>
    <row r="8" spans="1:10" ht="12.75">
      <c r="A8" s="39"/>
      <c r="B8" s="273"/>
      <c r="C8" s="274"/>
      <c r="D8" s="274"/>
      <c r="E8" s="274"/>
      <c r="F8" s="274"/>
      <c r="G8" s="274"/>
      <c r="H8" s="274"/>
      <c r="I8" s="275"/>
      <c r="J8" s="39"/>
    </row>
    <row r="9" spans="1:10" ht="12.75">
      <c r="A9" s="39"/>
      <c r="B9" s="273"/>
      <c r="C9" s="274"/>
      <c r="D9" s="274"/>
      <c r="E9" s="274"/>
      <c r="F9" s="274"/>
      <c r="G9" s="274"/>
      <c r="H9" s="274"/>
      <c r="I9" s="275"/>
      <c r="J9" s="39"/>
    </row>
    <row r="10" spans="1:10" ht="12.75">
      <c r="A10" s="39"/>
      <c r="B10" s="273"/>
      <c r="C10" s="274"/>
      <c r="D10" s="274"/>
      <c r="E10" s="274"/>
      <c r="F10" s="274"/>
      <c r="G10" s="274"/>
      <c r="H10" s="274"/>
      <c r="I10" s="275"/>
      <c r="J10" s="39"/>
    </row>
    <row r="11" spans="1:10" ht="12.75">
      <c r="A11" s="39"/>
      <c r="B11" s="273"/>
      <c r="C11" s="274"/>
      <c r="D11" s="274"/>
      <c r="E11" s="274"/>
      <c r="F11" s="274"/>
      <c r="G11" s="274"/>
      <c r="H11" s="274"/>
      <c r="I11" s="275"/>
      <c r="J11" s="39"/>
    </row>
    <row r="12" spans="1:10" ht="12.75">
      <c r="A12" s="39"/>
      <c r="B12" s="273"/>
      <c r="C12" s="274"/>
      <c r="D12" s="274"/>
      <c r="E12" s="274"/>
      <c r="F12" s="274"/>
      <c r="G12" s="274"/>
      <c r="H12" s="274"/>
      <c r="I12" s="275"/>
      <c r="J12" s="39"/>
    </row>
    <row r="13" spans="1:10" ht="12.75">
      <c r="A13" s="39"/>
      <c r="B13" s="273"/>
      <c r="C13" s="274"/>
      <c r="D13" s="274"/>
      <c r="E13" s="274"/>
      <c r="F13" s="274"/>
      <c r="G13" s="274"/>
      <c r="H13" s="274"/>
      <c r="I13" s="275"/>
      <c r="J13" s="39"/>
    </row>
    <row r="14" spans="1:10" ht="12.75">
      <c r="A14" s="39"/>
      <c r="B14" s="273"/>
      <c r="C14" s="274"/>
      <c r="D14" s="274"/>
      <c r="E14" s="274"/>
      <c r="F14" s="274"/>
      <c r="G14" s="274"/>
      <c r="H14" s="274"/>
      <c r="I14" s="275"/>
      <c r="J14" s="39"/>
    </row>
    <row r="15" spans="1:10" ht="12.75">
      <c r="A15" s="39"/>
      <c r="B15" s="273"/>
      <c r="C15" s="274"/>
      <c r="D15" s="274"/>
      <c r="E15" s="274"/>
      <c r="F15" s="274"/>
      <c r="G15" s="274"/>
      <c r="H15" s="274"/>
      <c r="I15" s="275"/>
      <c r="J15" s="39"/>
    </row>
    <row r="16" spans="1:10" ht="12.75">
      <c r="A16" s="39"/>
      <c r="B16" s="273"/>
      <c r="C16" s="274"/>
      <c r="D16" s="274"/>
      <c r="E16" s="274"/>
      <c r="F16" s="274"/>
      <c r="G16" s="274"/>
      <c r="H16" s="274"/>
      <c r="I16" s="275"/>
      <c r="J16" s="39"/>
    </row>
    <row r="17" spans="1:10" ht="12.75">
      <c r="A17" s="39"/>
      <c r="B17" s="273"/>
      <c r="C17" s="274"/>
      <c r="D17" s="274"/>
      <c r="E17" s="274"/>
      <c r="F17" s="274"/>
      <c r="G17" s="274"/>
      <c r="H17" s="274"/>
      <c r="I17" s="275"/>
      <c r="J17" s="39"/>
    </row>
    <row r="18" spans="1:10" ht="12.75">
      <c r="A18" s="39"/>
      <c r="B18" s="273"/>
      <c r="C18" s="274"/>
      <c r="D18" s="274"/>
      <c r="E18" s="274"/>
      <c r="F18" s="274"/>
      <c r="G18" s="274"/>
      <c r="H18" s="274"/>
      <c r="I18" s="275"/>
      <c r="J18" s="39"/>
    </row>
    <row r="19" spans="1:10" ht="12.75">
      <c r="A19" s="39"/>
      <c r="B19" s="273"/>
      <c r="C19" s="274"/>
      <c r="D19" s="274"/>
      <c r="E19" s="274"/>
      <c r="F19" s="274"/>
      <c r="G19" s="274"/>
      <c r="H19" s="274"/>
      <c r="I19" s="275"/>
      <c r="J19" s="39"/>
    </row>
    <row r="20" spans="1:10" ht="12.75">
      <c r="A20" s="39"/>
      <c r="B20" s="273"/>
      <c r="C20" s="274"/>
      <c r="D20" s="274"/>
      <c r="E20" s="274"/>
      <c r="F20" s="274"/>
      <c r="G20" s="274"/>
      <c r="H20" s="274"/>
      <c r="I20" s="275"/>
      <c r="J20" s="39"/>
    </row>
    <row r="21" spans="1:10" ht="12.75">
      <c r="A21" s="39"/>
      <c r="B21" s="273"/>
      <c r="C21" s="274"/>
      <c r="D21" s="274"/>
      <c r="E21" s="274"/>
      <c r="F21" s="274"/>
      <c r="G21" s="274"/>
      <c r="H21" s="274"/>
      <c r="I21" s="275"/>
      <c r="J21" s="39"/>
    </row>
    <row r="22" spans="1:10" ht="12.75">
      <c r="A22" s="39"/>
      <c r="B22" s="273"/>
      <c r="C22" s="274"/>
      <c r="D22" s="274"/>
      <c r="E22" s="274"/>
      <c r="F22" s="274"/>
      <c r="G22" s="274"/>
      <c r="H22" s="274"/>
      <c r="I22" s="275"/>
      <c r="J22" s="39"/>
    </row>
    <row r="23" spans="1:10" ht="12.75">
      <c r="A23" s="39"/>
      <c r="B23" s="273"/>
      <c r="C23" s="274"/>
      <c r="D23" s="274"/>
      <c r="E23" s="274"/>
      <c r="F23" s="274"/>
      <c r="G23" s="274"/>
      <c r="H23" s="274"/>
      <c r="I23" s="275"/>
      <c r="J23" s="39"/>
    </row>
    <row r="24" spans="1:10" ht="12.75">
      <c r="A24" s="39"/>
      <c r="B24" s="273"/>
      <c r="C24" s="274"/>
      <c r="D24" s="274"/>
      <c r="E24" s="274"/>
      <c r="F24" s="274"/>
      <c r="G24" s="274"/>
      <c r="H24" s="274"/>
      <c r="I24" s="275"/>
      <c r="J24" s="39"/>
    </row>
    <row r="25" spans="1:10" ht="12.75">
      <c r="A25" s="39"/>
      <c r="B25" s="273"/>
      <c r="C25" s="274"/>
      <c r="D25" s="274"/>
      <c r="E25" s="274"/>
      <c r="F25" s="274"/>
      <c r="G25" s="274"/>
      <c r="H25" s="274"/>
      <c r="I25" s="275"/>
      <c r="J25" s="39"/>
    </row>
    <row r="26" spans="1:10" ht="12.75">
      <c r="A26" s="39"/>
      <c r="B26" s="273"/>
      <c r="C26" s="274"/>
      <c r="D26" s="274"/>
      <c r="E26" s="274"/>
      <c r="F26" s="274"/>
      <c r="G26" s="274"/>
      <c r="H26" s="274"/>
      <c r="I26" s="275"/>
      <c r="J26" s="39"/>
    </row>
    <row r="27" spans="1:10" ht="12.75">
      <c r="A27" s="39"/>
      <c r="B27" s="273"/>
      <c r="C27" s="274"/>
      <c r="D27" s="274"/>
      <c r="E27" s="274"/>
      <c r="F27" s="274"/>
      <c r="G27" s="274"/>
      <c r="H27" s="274"/>
      <c r="I27" s="275"/>
      <c r="J27" s="39"/>
    </row>
    <row r="28" spans="1:10" ht="12.75">
      <c r="A28" s="39"/>
      <c r="B28" s="273"/>
      <c r="C28" s="39"/>
      <c r="D28" s="39"/>
      <c r="E28" s="39"/>
      <c r="F28" s="39"/>
      <c r="G28" s="39"/>
      <c r="H28" s="39"/>
      <c r="I28" s="275"/>
      <c r="J28" s="39"/>
    </row>
    <row r="29" spans="1:10" ht="12.75">
      <c r="A29" s="39"/>
      <c r="B29" s="273"/>
      <c r="C29" s="39"/>
      <c r="D29" s="39"/>
      <c r="E29" s="39"/>
      <c r="F29" s="39"/>
      <c r="G29" s="39"/>
      <c r="H29" s="39"/>
      <c r="I29" s="275"/>
      <c r="J29" s="39"/>
    </row>
    <row r="30" spans="1:10" ht="12.75" customHeight="1">
      <c r="A30" s="39"/>
      <c r="B30" s="273"/>
      <c r="C30" s="274"/>
      <c r="D30" s="274"/>
      <c r="E30" s="274"/>
      <c r="F30" s="274"/>
      <c r="G30" s="274"/>
      <c r="H30" s="274"/>
      <c r="I30" s="275"/>
      <c r="J30" s="39"/>
    </row>
    <row r="31" spans="1:10" ht="12.75" customHeight="1">
      <c r="A31" s="39"/>
      <c r="B31" s="273"/>
      <c r="C31" s="512" t="s">
        <v>44</v>
      </c>
      <c r="D31" s="512"/>
      <c r="E31" s="512"/>
      <c r="F31" s="512"/>
      <c r="G31" s="512"/>
      <c r="H31" s="512"/>
      <c r="I31" s="275"/>
      <c r="J31" s="39"/>
    </row>
    <row r="32" spans="1:10" ht="12.75" customHeight="1">
      <c r="A32" s="39"/>
      <c r="B32" s="273"/>
      <c r="C32" s="512"/>
      <c r="D32" s="512"/>
      <c r="E32" s="512"/>
      <c r="F32" s="512"/>
      <c r="G32" s="512"/>
      <c r="H32" s="512"/>
      <c r="I32" s="275"/>
      <c r="J32" s="39"/>
    </row>
    <row r="33" spans="1:10" ht="12.75" customHeight="1">
      <c r="A33" s="39"/>
      <c r="B33" s="273"/>
      <c r="C33" s="512"/>
      <c r="D33" s="512"/>
      <c r="E33" s="512"/>
      <c r="F33" s="512"/>
      <c r="G33" s="512"/>
      <c r="H33" s="512"/>
      <c r="I33" s="275"/>
      <c r="J33" s="39"/>
    </row>
    <row r="34" spans="1:10" ht="12.75" customHeight="1">
      <c r="A34" s="39"/>
      <c r="B34" s="273"/>
      <c r="C34" s="512"/>
      <c r="D34" s="512"/>
      <c r="E34" s="512"/>
      <c r="F34" s="512"/>
      <c r="G34" s="512"/>
      <c r="H34" s="512"/>
      <c r="I34" s="275"/>
      <c r="J34" s="39"/>
    </row>
    <row r="35" spans="1:10" ht="12.75">
      <c r="A35" s="39"/>
      <c r="B35" s="273"/>
      <c r="C35" s="389"/>
      <c r="D35" s="389"/>
      <c r="E35" s="389"/>
      <c r="F35" s="389"/>
      <c r="G35" s="389"/>
      <c r="H35" s="389"/>
      <c r="I35" s="275"/>
      <c r="J35" s="39"/>
    </row>
    <row r="36" spans="1:10" ht="12.75">
      <c r="A36" s="39"/>
      <c r="B36" s="273"/>
      <c r="C36" s="389"/>
      <c r="D36" s="389"/>
      <c r="E36" s="389"/>
      <c r="F36" s="389"/>
      <c r="G36" s="389"/>
      <c r="H36" s="389"/>
      <c r="I36" s="275"/>
      <c r="J36" s="39"/>
    </row>
    <row r="37" spans="1:10" ht="12.75">
      <c r="A37" s="39"/>
      <c r="B37" s="273"/>
      <c r="C37" s="389"/>
      <c r="D37" s="389"/>
      <c r="E37" s="389"/>
      <c r="F37" s="389"/>
      <c r="G37" s="389"/>
      <c r="H37" s="389"/>
      <c r="I37" s="275"/>
      <c r="J37" s="39"/>
    </row>
    <row r="38" spans="1:10" ht="12.75">
      <c r="A38" s="39"/>
      <c r="B38" s="273"/>
      <c r="C38" s="389"/>
      <c r="D38" s="389"/>
      <c r="E38" s="389"/>
      <c r="F38" s="389"/>
      <c r="G38" s="389"/>
      <c r="H38" s="389"/>
      <c r="I38" s="275"/>
      <c r="J38" s="39"/>
    </row>
    <row r="39" spans="1:10" ht="12.75">
      <c r="A39" s="39"/>
      <c r="B39" s="273"/>
      <c r="C39" s="389"/>
      <c r="D39" s="389"/>
      <c r="E39" s="389"/>
      <c r="F39" s="389"/>
      <c r="G39" s="389"/>
      <c r="H39" s="389"/>
      <c r="I39" s="275"/>
      <c r="J39" s="39"/>
    </row>
    <row r="40" spans="1:10" ht="12.75">
      <c r="A40" s="39"/>
      <c r="B40" s="273"/>
      <c r="C40" s="389"/>
      <c r="D40" s="389"/>
      <c r="E40" s="389"/>
      <c r="F40" s="389"/>
      <c r="G40" s="389"/>
      <c r="H40" s="389"/>
      <c r="I40" s="275"/>
      <c r="J40" s="39"/>
    </row>
    <row r="41" spans="1:10" ht="12.75">
      <c r="A41" s="39"/>
      <c r="B41" s="273"/>
      <c r="C41" s="389"/>
      <c r="D41" s="389"/>
      <c r="E41" s="389"/>
      <c r="F41" s="389"/>
      <c r="G41" s="389"/>
      <c r="H41" s="389"/>
      <c r="I41" s="275"/>
      <c r="J41" s="39"/>
    </row>
    <row r="42" spans="1:10" ht="12.75">
      <c r="A42" s="39"/>
      <c r="B42" s="273"/>
      <c r="C42" s="389"/>
      <c r="D42" s="389"/>
      <c r="E42" s="389"/>
      <c r="F42" s="389"/>
      <c r="G42" s="389"/>
      <c r="H42" s="389"/>
      <c r="I42" s="275"/>
      <c r="J42" s="39"/>
    </row>
    <row r="43" spans="1:10" ht="12.75">
      <c r="A43" s="39"/>
      <c r="B43" s="273"/>
      <c r="C43" s="389"/>
      <c r="D43" s="389"/>
      <c r="E43" s="389"/>
      <c r="F43" s="389"/>
      <c r="G43" s="389"/>
      <c r="H43" s="389"/>
      <c r="I43" s="275"/>
      <c r="J43" s="39"/>
    </row>
    <row r="44" spans="1:10" ht="12.75">
      <c r="A44" s="39"/>
      <c r="B44" s="273"/>
      <c r="C44" s="515" t="s">
        <v>42</v>
      </c>
      <c r="D44" s="515"/>
      <c r="E44" s="515"/>
      <c r="F44" s="515"/>
      <c r="G44" s="515"/>
      <c r="H44" s="515"/>
      <c r="I44" s="275"/>
      <c r="J44" s="39"/>
    </row>
    <row r="45" spans="1:10" ht="12.75">
      <c r="A45" s="39"/>
      <c r="B45" s="273"/>
      <c r="C45" s="515"/>
      <c r="D45" s="515"/>
      <c r="E45" s="515"/>
      <c r="F45" s="515"/>
      <c r="G45" s="515"/>
      <c r="H45" s="515"/>
      <c r="I45" s="275"/>
      <c r="J45" s="39"/>
    </row>
    <row r="46" spans="1:10" ht="12.75">
      <c r="A46" s="39"/>
      <c r="B46" s="273"/>
      <c r="C46" s="274"/>
      <c r="D46" s="274"/>
      <c r="E46" s="274"/>
      <c r="F46" s="274"/>
      <c r="G46" s="274"/>
      <c r="H46" s="274"/>
      <c r="I46" s="275"/>
      <c r="J46" s="39"/>
    </row>
    <row r="47" spans="1:10" ht="12.75">
      <c r="A47" s="39"/>
      <c r="B47" s="273"/>
      <c r="C47" s="274"/>
      <c r="D47" s="274"/>
      <c r="E47" s="274"/>
      <c r="F47" s="274"/>
      <c r="G47" s="274"/>
      <c r="H47" s="274"/>
      <c r="I47" s="275"/>
      <c r="J47" s="39"/>
    </row>
    <row r="48" spans="1:10" ht="12.75">
      <c r="A48" s="39"/>
      <c r="B48" s="273"/>
      <c r="C48" s="274"/>
      <c r="D48" s="274"/>
      <c r="E48" s="274"/>
      <c r="F48" s="274"/>
      <c r="G48" s="274"/>
      <c r="H48" s="274"/>
      <c r="I48" s="275"/>
      <c r="J48" s="39"/>
    </row>
    <row r="49" spans="1:10" ht="12.75">
      <c r="A49" s="39"/>
      <c r="B49" s="273"/>
      <c r="C49" s="274"/>
      <c r="D49" s="274"/>
      <c r="E49" s="274"/>
      <c r="F49" s="274"/>
      <c r="G49" s="274"/>
      <c r="H49" s="274"/>
      <c r="I49" s="275"/>
      <c r="J49" s="39"/>
    </row>
    <row r="50" spans="1:10" ht="12.75">
      <c r="A50" s="39"/>
      <c r="B50" s="273"/>
      <c r="C50" s="274"/>
      <c r="D50" s="274"/>
      <c r="E50" s="274"/>
      <c r="F50" s="274"/>
      <c r="G50" s="274"/>
      <c r="H50" s="274"/>
      <c r="I50" s="275"/>
      <c r="J50" s="39"/>
    </row>
    <row r="51" spans="1:10" ht="12.75">
      <c r="A51" s="39"/>
      <c r="B51" s="273"/>
      <c r="C51" s="274"/>
      <c r="D51" s="274"/>
      <c r="E51" s="274"/>
      <c r="F51" s="274"/>
      <c r="G51" s="274"/>
      <c r="H51" s="274"/>
      <c r="I51" s="275"/>
      <c r="J51" s="39"/>
    </row>
    <row r="52" spans="1:10" ht="12.75">
      <c r="A52" s="39"/>
      <c r="B52" s="273"/>
      <c r="C52" s="516">
        <v>45352</v>
      </c>
      <c r="D52" s="516"/>
      <c r="E52" s="516"/>
      <c r="F52" s="516"/>
      <c r="G52" s="516"/>
      <c r="H52" s="516"/>
      <c r="I52" s="275"/>
      <c r="J52" s="39"/>
    </row>
    <row r="53" spans="1:10" ht="12.75">
      <c r="A53" s="39"/>
      <c r="B53" s="273"/>
      <c r="C53" s="516"/>
      <c r="D53" s="516"/>
      <c r="E53" s="516"/>
      <c r="F53" s="516"/>
      <c r="G53" s="516"/>
      <c r="H53" s="516"/>
      <c r="I53" s="275"/>
      <c r="J53" s="39"/>
    </row>
    <row r="54" spans="1:10" ht="12.75">
      <c r="A54" s="39"/>
      <c r="B54" s="273"/>
      <c r="C54" s="274"/>
      <c r="D54" s="274"/>
      <c r="E54" s="274"/>
      <c r="F54" s="274"/>
      <c r="G54" s="274"/>
      <c r="H54" s="274"/>
      <c r="I54" s="275"/>
      <c r="J54" s="39"/>
    </row>
    <row r="55" spans="1:10" ht="12.75">
      <c r="A55" s="39"/>
      <c r="B55" s="273"/>
      <c r="C55" s="274"/>
      <c r="D55" s="274"/>
      <c r="E55" s="274"/>
      <c r="F55" s="274"/>
      <c r="G55" s="274"/>
      <c r="H55" s="274"/>
      <c r="I55" s="275"/>
      <c r="J55" s="39"/>
    </row>
    <row r="56" spans="1:10" ht="12.75">
      <c r="A56" s="39"/>
      <c r="B56" s="273"/>
      <c r="C56" s="274"/>
      <c r="D56" s="274"/>
      <c r="E56" s="274"/>
      <c r="F56" s="274"/>
      <c r="G56" s="274"/>
      <c r="H56" s="274"/>
      <c r="I56" s="275"/>
      <c r="J56" s="39"/>
    </row>
    <row r="57" spans="1:10" ht="12.75">
      <c r="A57" s="39"/>
      <c r="B57" s="273"/>
      <c r="C57" s="274"/>
      <c r="D57" s="274"/>
      <c r="E57" s="274"/>
      <c r="F57" s="274"/>
      <c r="G57" s="274"/>
      <c r="H57" s="274"/>
      <c r="I57" s="275"/>
      <c r="J57" s="39"/>
    </row>
    <row r="58" spans="1:10" ht="12.75">
      <c r="A58" s="39"/>
      <c r="B58" s="273"/>
      <c r="C58" s="274"/>
      <c r="D58" s="274"/>
      <c r="E58" s="274"/>
      <c r="F58" s="274"/>
      <c r="G58" s="274"/>
      <c r="H58" s="274"/>
      <c r="I58" s="275"/>
      <c r="J58" s="39"/>
    </row>
    <row r="59" spans="1:10" ht="12.75">
      <c r="A59" s="39"/>
      <c r="B59" s="273"/>
      <c r="C59" s="274"/>
      <c r="D59" s="274"/>
      <c r="E59" s="274"/>
      <c r="F59" s="274"/>
      <c r="G59" s="274"/>
      <c r="H59" s="274"/>
      <c r="I59" s="275"/>
      <c r="J59" s="39"/>
    </row>
    <row r="60" spans="1:10" ht="12.75">
      <c r="A60" s="39"/>
      <c r="B60" s="273"/>
      <c r="C60" s="274"/>
      <c r="D60" s="274"/>
      <c r="E60" s="274"/>
      <c r="F60" s="274"/>
      <c r="G60" s="274"/>
      <c r="H60" s="274"/>
      <c r="I60" s="275"/>
      <c r="J60" s="39"/>
    </row>
    <row r="61" spans="1:10" ht="12.75">
      <c r="A61" s="39"/>
      <c r="B61" s="273"/>
      <c r="C61" s="274"/>
      <c r="D61" s="274"/>
      <c r="E61" s="274"/>
      <c r="F61" s="274"/>
      <c r="G61" s="274"/>
      <c r="H61" s="274"/>
      <c r="I61" s="275"/>
      <c r="J61" s="39"/>
    </row>
    <row r="62" spans="1:10" ht="12.75">
      <c r="A62" s="39"/>
      <c r="B62" s="273"/>
      <c r="C62" s="515" t="s">
        <v>456</v>
      </c>
      <c r="D62" s="515"/>
      <c r="E62" s="515"/>
      <c r="F62" s="515"/>
      <c r="G62" s="515"/>
      <c r="H62" s="515"/>
      <c r="I62" s="275"/>
      <c r="J62" s="39"/>
    </row>
    <row r="63" spans="1:10" ht="12.75">
      <c r="A63" s="39"/>
      <c r="B63" s="273"/>
      <c r="C63" s="515"/>
      <c r="D63" s="515"/>
      <c r="E63" s="515"/>
      <c r="F63" s="515"/>
      <c r="G63" s="515"/>
      <c r="H63" s="515"/>
      <c r="I63" s="275"/>
      <c r="J63" s="39"/>
    </row>
    <row r="64" spans="1:10" ht="12.75">
      <c r="A64" s="39"/>
      <c r="B64" s="273"/>
      <c r="C64" s="274"/>
      <c r="D64" s="274"/>
      <c r="E64" s="274"/>
      <c r="F64" s="274"/>
      <c r="G64" s="274"/>
      <c r="H64" s="274"/>
      <c r="I64" s="275"/>
      <c r="J64" s="39"/>
    </row>
    <row r="65" spans="1:10" ht="12.75">
      <c r="A65" s="39"/>
      <c r="B65" s="273"/>
      <c r="C65" s="274"/>
      <c r="D65" s="274"/>
      <c r="E65" s="274"/>
      <c r="F65" s="274"/>
      <c r="G65" s="274"/>
      <c r="H65" s="274"/>
      <c r="I65" s="275"/>
      <c r="J65" s="39"/>
    </row>
    <row r="66" spans="1:10" ht="12.75">
      <c r="A66" s="39"/>
      <c r="B66" s="273"/>
      <c r="C66" s="274"/>
      <c r="D66" s="274"/>
      <c r="E66" s="274"/>
      <c r="F66" s="274"/>
      <c r="G66" s="274"/>
      <c r="H66" s="274"/>
      <c r="I66" s="275"/>
      <c r="J66" s="39"/>
    </row>
    <row r="67" spans="1:10" ht="12.75">
      <c r="A67" s="39"/>
      <c r="B67" s="273"/>
      <c r="C67" s="274"/>
      <c r="D67" s="274"/>
      <c r="E67" s="274"/>
      <c r="F67" s="274"/>
      <c r="G67" s="274"/>
      <c r="H67" s="274"/>
      <c r="I67" s="275"/>
      <c r="J67" s="39"/>
    </row>
    <row r="68" spans="1:10" ht="12.75">
      <c r="A68" s="39"/>
      <c r="B68" s="273"/>
      <c r="C68" s="274"/>
      <c r="D68" s="274"/>
      <c r="E68" s="274"/>
      <c r="F68" s="274"/>
      <c r="G68" s="274"/>
      <c r="H68" s="274"/>
      <c r="I68" s="275"/>
      <c r="J68" s="39"/>
    </row>
    <row r="69" spans="1:10" ht="12.75">
      <c r="A69" s="39"/>
      <c r="B69" s="273"/>
      <c r="C69" s="274"/>
      <c r="D69" s="274"/>
      <c r="E69" s="274"/>
      <c r="F69" s="274"/>
      <c r="G69" s="274"/>
      <c r="H69" s="274"/>
      <c r="I69" s="275"/>
      <c r="J69" s="39"/>
    </row>
    <row r="70" spans="1:10" ht="12.75">
      <c r="A70" s="39"/>
      <c r="B70" s="273"/>
      <c r="C70" s="274"/>
      <c r="D70" s="274"/>
      <c r="E70" s="274"/>
      <c r="F70" s="274"/>
      <c r="G70" s="274"/>
      <c r="H70" s="274"/>
      <c r="I70" s="275"/>
      <c r="J70" s="39"/>
    </row>
    <row r="71" spans="1:10" ht="12.75">
      <c r="A71" s="39"/>
      <c r="B71" s="273"/>
      <c r="C71" s="274"/>
      <c r="D71" s="274"/>
      <c r="E71" s="274"/>
      <c r="F71" s="274"/>
      <c r="G71" s="274"/>
      <c r="H71" s="274"/>
      <c r="I71" s="275"/>
      <c r="J71" s="39"/>
    </row>
    <row r="72" spans="1:10" ht="12.75">
      <c r="A72" s="39"/>
      <c r="B72" s="273"/>
      <c r="C72" s="513" t="s">
        <v>43</v>
      </c>
      <c r="D72" s="514"/>
      <c r="E72" s="514"/>
      <c r="F72" s="514"/>
      <c r="G72" s="514"/>
      <c r="H72" s="514"/>
      <c r="I72" s="275"/>
      <c r="J72" s="39"/>
    </row>
    <row r="73" spans="1:10" ht="12.75">
      <c r="A73" s="39"/>
      <c r="B73" s="273"/>
      <c r="C73" s="514"/>
      <c r="D73" s="514"/>
      <c r="E73" s="514"/>
      <c r="F73" s="514"/>
      <c r="G73" s="514"/>
      <c r="H73" s="514"/>
      <c r="I73" s="275"/>
      <c r="J73" s="39"/>
    </row>
    <row r="74" spans="1:10" ht="20.25">
      <c r="A74" s="39"/>
      <c r="B74" s="273"/>
      <c r="C74" s="237"/>
      <c r="D74" s="237"/>
      <c r="E74" s="237"/>
      <c r="F74" s="237"/>
      <c r="G74" s="237"/>
      <c r="H74" s="237"/>
      <c r="I74" s="275"/>
      <c r="J74" s="39"/>
    </row>
    <row r="75" spans="1:10" ht="12.75">
      <c r="A75" s="39"/>
      <c r="B75" s="273"/>
      <c r="C75" s="274"/>
      <c r="D75" s="274"/>
      <c r="E75" s="274"/>
      <c r="F75" s="274"/>
      <c r="G75" s="274"/>
      <c r="H75" s="274"/>
      <c r="I75" s="275"/>
      <c r="J75" s="39"/>
    </row>
    <row r="76" spans="1:10" ht="12.75">
      <c r="A76" s="39"/>
      <c r="B76" s="273"/>
      <c r="C76" s="274"/>
      <c r="D76" s="274"/>
      <c r="E76" s="274"/>
      <c r="F76" s="274"/>
      <c r="G76" s="274"/>
      <c r="H76" s="274"/>
      <c r="I76" s="275"/>
      <c r="J76" s="39"/>
    </row>
    <row r="77" spans="1:10" ht="3" customHeight="1">
      <c r="A77" s="39"/>
      <c r="B77" s="396"/>
      <c r="C77" s="397"/>
      <c r="D77" s="397"/>
      <c r="E77" s="397"/>
      <c r="F77" s="397"/>
      <c r="G77" s="397"/>
      <c r="H77" s="397"/>
      <c r="I77" s="398"/>
      <c r="J77" s="39"/>
    </row>
    <row r="78" spans="1:10" ht="12.75">
      <c r="A78" s="39"/>
      <c r="B78" s="393"/>
      <c r="C78" s="394"/>
      <c r="D78" s="394"/>
      <c r="E78" s="394"/>
      <c r="F78" s="394"/>
      <c r="G78" s="394"/>
      <c r="H78" s="394"/>
      <c r="I78" s="395"/>
      <c r="J78" s="39"/>
    </row>
    <row r="79" spans="1:10" ht="13.5" thickBot="1">
      <c r="A79" s="39"/>
      <c r="B79" s="399"/>
      <c r="C79" s="400"/>
      <c r="D79" s="400"/>
      <c r="E79" s="400"/>
      <c r="F79" s="400"/>
      <c r="G79" s="400"/>
      <c r="H79" s="400"/>
      <c r="I79" s="401"/>
      <c r="J79" s="39"/>
    </row>
    <row r="80" spans="1:10" ht="13.5" thickTop="1">
      <c r="A80" s="39"/>
      <c r="B80" s="39"/>
      <c r="C80" s="39"/>
      <c r="D80" s="39"/>
      <c r="E80" s="39"/>
      <c r="F80" s="39"/>
      <c r="G80" s="39"/>
      <c r="H80" s="39"/>
      <c r="I80" s="39"/>
      <c r="J80" s="39"/>
    </row>
    <row r="81" ht="12.75"/>
  </sheetData>
  <sheetProtection/>
  <mergeCells count="5">
    <mergeCell ref="C31:H34"/>
    <mergeCell ref="C72:H73"/>
    <mergeCell ref="C44:H45"/>
    <mergeCell ref="C62:H63"/>
    <mergeCell ref="C52:H53"/>
  </mergeCells>
  <hyperlinks>
    <hyperlink ref="C72" r:id="rId1" display="www.bolsadequito.com"/>
  </hyperlink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9"/>
  <sheetViews>
    <sheetView zoomScalePageLayoutView="0" workbookViewId="0" topLeftCell="A82">
      <selection activeCell="A99" sqref="A99"/>
    </sheetView>
  </sheetViews>
  <sheetFormatPr defaultColWidth="11.421875" defaultRowHeight="12.75"/>
  <cols>
    <col min="1" max="1" width="19.28125" style="0" customWidth="1"/>
    <col min="2" max="2" width="42.421875" style="0" customWidth="1"/>
    <col min="3" max="3" width="16.57421875" style="0" bestFit="1" customWidth="1"/>
    <col min="4" max="4" width="15.140625" style="0" customWidth="1"/>
    <col min="5" max="5" width="16.57421875" style="0" customWidth="1"/>
    <col min="6" max="6" width="15.140625" style="0" customWidth="1"/>
    <col min="7" max="7" width="21.57421875" style="0" customWidth="1"/>
    <col min="8" max="9" width="20.7109375" style="0" customWidth="1"/>
    <col min="10" max="12" width="17.8515625" style="0" bestFit="1" customWidth="1"/>
  </cols>
  <sheetData>
    <row r="2" spans="1:10" ht="12.75">
      <c r="A2" s="28">
        <v>41030</v>
      </c>
      <c r="B2" t="s">
        <v>50</v>
      </c>
      <c r="F2" s="46"/>
      <c r="G2" s="46"/>
      <c r="H2" s="46"/>
      <c r="I2" s="46"/>
      <c r="J2" s="46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97" t="s">
        <v>184</v>
      </c>
      <c r="B5" s="98" t="s">
        <v>0</v>
      </c>
      <c r="C5" s="99" t="s">
        <v>186</v>
      </c>
      <c r="D5" s="98" t="s">
        <v>187</v>
      </c>
      <c r="E5" s="100" t="s">
        <v>188</v>
      </c>
      <c r="F5" s="100" t="s">
        <v>190</v>
      </c>
      <c r="G5" s="100" t="s">
        <v>193</v>
      </c>
      <c r="H5" s="98" t="s">
        <v>194</v>
      </c>
      <c r="I5" s="101" t="s">
        <v>93</v>
      </c>
      <c r="J5" s="101" t="s">
        <v>195</v>
      </c>
    </row>
    <row r="6" spans="1:10" ht="12.75">
      <c r="A6" s="102">
        <v>41011</v>
      </c>
      <c r="B6" s="103" t="s">
        <v>118</v>
      </c>
      <c r="C6" s="104">
        <v>0</v>
      </c>
      <c r="D6" s="103">
        <v>8.0309</v>
      </c>
      <c r="E6" s="105">
        <v>20307.69</v>
      </c>
      <c r="F6" s="105">
        <v>20307.69</v>
      </c>
      <c r="G6" s="105">
        <v>2030769</v>
      </c>
      <c r="H6" s="106">
        <v>14763690.629999999</v>
      </c>
      <c r="I6" s="107">
        <f aca="true" t="shared" si="0" ref="I6:I29">+((1+D6/100)^(90/360)-1)*(400)</f>
        <v>7.799782560666646</v>
      </c>
      <c r="J6" s="108">
        <f aca="true" t="shared" si="1" ref="J6:J30">+I6*F6</f>
        <v>158395.56630942444</v>
      </c>
    </row>
    <row r="7" spans="1:10" ht="12.75">
      <c r="A7" s="102">
        <v>41010</v>
      </c>
      <c r="B7" s="103" t="s">
        <v>183</v>
      </c>
      <c r="C7" s="104">
        <v>5.294</v>
      </c>
      <c r="D7" s="103">
        <v>5.4</v>
      </c>
      <c r="E7" s="105">
        <v>32000</v>
      </c>
      <c r="F7" s="105">
        <v>33855.84</v>
      </c>
      <c r="G7" s="105">
        <v>3581930.9440799993</v>
      </c>
      <c r="H7" s="106">
        <v>46619491.67999999</v>
      </c>
      <c r="I7" s="107">
        <f t="shared" si="0"/>
        <v>5.293971614056492</v>
      </c>
      <c r="J7" s="108">
        <f t="shared" si="1"/>
        <v>179231.85593003832</v>
      </c>
    </row>
    <row r="8" spans="1:10" ht="12.75">
      <c r="A8" s="102">
        <v>41019</v>
      </c>
      <c r="B8" s="103" t="s">
        <v>102</v>
      </c>
      <c r="C8" s="104">
        <v>8</v>
      </c>
      <c r="D8" s="103">
        <v>8.2432</v>
      </c>
      <c r="E8" s="105">
        <v>86666.67</v>
      </c>
      <c r="F8" s="105">
        <v>87264.62</v>
      </c>
      <c r="G8" s="105">
        <v>8786665.861337999</v>
      </c>
      <c r="H8" s="106">
        <v>94682112.69999999</v>
      </c>
      <c r="I8" s="107">
        <f t="shared" si="0"/>
        <v>7.9999849228418185</v>
      </c>
      <c r="J8" s="108">
        <f t="shared" si="1"/>
        <v>698115.6442975206</v>
      </c>
    </row>
    <row r="9" spans="1:10" ht="12.75">
      <c r="A9" s="102">
        <v>41023</v>
      </c>
      <c r="B9" s="103" t="s">
        <v>102</v>
      </c>
      <c r="C9" s="104">
        <v>4.8125</v>
      </c>
      <c r="D9" s="103">
        <v>4.9</v>
      </c>
      <c r="E9" s="105">
        <v>433333.33</v>
      </c>
      <c r="F9" s="105">
        <v>456177.15</v>
      </c>
      <c r="G9" s="105">
        <v>48022498.46394</v>
      </c>
      <c r="H9" s="106">
        <v>494496030.6</v>
      </c>
      <c r="I9" s="107">
        <f t="shared" si="0"/>
        <v>4.812452441977033</v>
      </c>
      <c r="J9" s="108">
        <f t="shared" si="1"/>
        <v>2195330.8394916235</v>
      </c>
    </row>
    <row r="10" spans="1:10" ht="12.75">
      <c r="A10" s="102">
        <v>41009</v>
      </c>
      <c r="B10" s="103" t="s">
        <v>117</v>
      </c>
      <c r="C10" s="104">
        <v>8</v>
      </c>
      <c r="D10" s="103">
        <v>8.2432</v>
      </c>
      <c r="E10" s="105">
        <v>1892699.75</v>
      </c>
      <c r="F10" s="105">
        <v>1892606.82</v>
      </c>
      <c r="G10" s="105">
        <v>189251408.226582</v>
      </c>
      <c r="H10" s="106">
        <v>2477422327.38</v>
      </c>
      <c r="I10" s="107">
        <f t="shared" si="0"/>
        <v>7.9999849228418185</v>
      </c>
      <c r="J10" s="108">
        <f t="shared" si="1"/>
        <v>15140826.0248676</v>
      </c>
    </row>
    <row r="11" spans="1:10" ht="12.75">
      <c r="A11" s="102">
        <v>41017</v>
      </c>
      <c r="B11" s="103" t="s">
        <v>119</v>
      </c>
      <c r="C11" s="104">
        <v>8.0634</v>
      </c>
      <c r="D11" s="103">
        <v>8.3105</v>
      </c>
      <c r="E11" s="105">
        <v>100000</v>
      </c>
      <c r="F11" s="105">
        <v>99841.5</v>
      </c>
      <c r="G11" s="105">
        <v>9968325.12225</v>
      </c>
      <c r="H11" s="106">
        <v>169930233</v>
      </c>
      <c r="I11" s="107">
        <f t="shared" si="0"/>
        <v>8.063388442020969</v>
      </c>
      <c r="J11" s="108">
        <f t="shared" si="1"/>
        <v>805060.7971340365</v>
      </c>
    </row>
    <row r="12" spans="1:10" ht="12.75">
      <c r="A12" s="102">
        <v>41019</v>
      </c>
      <c r="B12" s="103" t="s">
        <v>111</v>
      </c>
      <c r="C12" s="104">
        <v>6.3473</v>
      </c>
      <c r="D12" s="103">
        <v>6.5</v>
      </c>
      <c r="E12" s="105">
        <v>160000</v>
      </c>
      <c r="F12" s="105">
        <v>165328.89</v>
      </c>
      <c r="G12" s="105">
        <v>17083533.401034</v>
      </c>
      <c r="H12" s="106">
        <v>263864908.44000003</v>
      </c>
      <c r="I12" s="107">
        <f t="shared" si="0"/>
        <v>6.347313913113428</v>
      </c>
      <c r="J12" s="108">
        <f t="shared" si="1"/>
        <v>1049394.3637365997</v>
      </c>
    </row>
    <row r="13" spans="1:10" ht="12.75">
      <c r="A13" s="102">
        <v>41010</v>
      </c>
      <c r="B13" s="103" t="s">
        <v>134</v>
      </c>
      <c r="C13" s="104">
        <v>5.9652</v>
      </c>
      <c r="D13" s="103">
        <v>6.1</v>
      </c>
      <c r="E13" s="105">
        <v>48750</v>
      </c>
      <c r="F13" s="105">
        <v>49560.85</v>
      </c>
      <c r="G13" s="105">
        <v>5038519.5618050005</v>
      </c>
      <c r="H13" s="106">
        <v>56747173.25</v>
      </c>
      <c r="I13" s="107">
        <f t="shared" si="0"/>
        <v>5.9652285692354035</v>
      </c>
      <c r="J13" s="108">
        <f t="shared" si="1"/>
        <v>295641.79833559046</v>
      </c>
    </row>
    <row r="14" spans="1:10" ht="12.75">
      <c r="A14" s="102">
        <v>41019</v>
      </c>
      <c r="B14" s="103" t="s">
        <v>134</v>
      </c>
      <c r="C14" s="104">
        <v>6.8234</v>
      </c>
      <c r="D14" s="103">
        <v>7</v>
      </c>
      <c r="E14" s="105">
        <v>80000</v>
      </c>
      <c r="F14" s="105">
        <v>81597.86</v>
      </c>
      <c r="G14" s="105">
        <v>8322761.405778</v>
      </c>
      <c r="H14" s="106">
        <v>180657662.04</v>
      </c>
      <c r="I14" s="107">
        <f t="shared" si="0"/>
        <v>6.82341000072455</v>
      </c>
      <c r="J14" s="108">
        <f t="shared" si="1"/>
        <v>556775.6539617217</v>
      </c>
    </row>
    <row r="15" spans="1:10" ht="12.75">
      <c r="A15" s="102">
        <v>41019</v>
      </c>
      <c r="B15" s="103" t="s">
        <v>134</v>
      </c>
      <c r="C15" s="104">
        <v>6.8234</v>
      </c>
      <c r="D15" s="103">
        <v>7</v>
      </c>
      <c r="E15" s="105">
        <v>80000</v>
      </c>
      <c r="F15" s="105">
        <v>81597.86</v>
      </c>
      <c r="G15" s="105">
        <v>8322761.405778</v>
      </c>
      <c r="H15" s="106">
        <v>180657662.04</v>
      </c>
      <c r="I15" s="107">
        <f t="shared" si="0"/>
        <v>6.82341000072455</v>
      </c>
      <c r="J15" s="108">
        <f t="shared" si="1"/>
        <v>556775.6539617217</v>
      </c>
    </row>
    <row r="16" spans="1:10" ht="12.75">
      <c r="A16" s="102">
        <v>41029</v>
      </c>
      <c r="B16" s="103" t="s">
        <v>125</v>
      </c>
      <c r="C16" s="104">
        <v>8.4983</v>
      </c>
      <c r="D16" s="103">
        <v>8.773</v>
      </c>
      <c r="E16" s="105">
        <v>120000</v>
      </c>
      <c r="F16" s="105">
        <v>120000</v>
      </c>
      <c r="G16" s="105">
        <v>12000000</v>
      </c>
      <c r="H16" s="106">
        <v>213600000</v>
      </c>
      <c r="I16" s="107">
        <f t="shared" si="0"/>
        <v>8.498313623927523</v>
      </c>
      <c r="J16" s="108">
        <f t="shared" si="1"/>
        <v>1019797.6348713028</v>
      </c>
    </row>
    <row r="17" spans="1:10" ht="12.75">
      <c r="A17" s="102">
        <v>41003</v>
      </c>
      <c r="B17" s="103" t="s">
        <v>125</v>
      </c>
      <c r="C17" s="104">
        <v>8.4975</v>
      </c>
      <c r="D17" s="103">
        <v>8.7722</v>
      </c>
      <c r="E17" s="105">
        <v>100000</v>
      </c>
      <c r="F17" s="105">
        <v>100000</v>
      </c>
      <c r="G17" s="105">
        <v>10000000</v>
      </c>
      <c r="H17" s="106">
        <v>174600000</v>
      </c>
      <c r="I17" s="107">
        <f t="shared" si="0"/>
        <v>8.497562519443314</v>
      </c>
      <c r="J17" s="108">
        <f t="shared" si="1"/>
        <v>849756.2519443313</v>
      </c>
    </row>
    <row r="18" spans="1:10" ht="12.75">
      <c r="A18" s="102">
        <v>41009</v>
      </c>
      <c r="B18" s="103" t="s">
        <v>125</v>
      </c>
      <c r="C18" s="104">
        <v>8.5</v>
      </c>
      <c r="D18" s="103">
        <v>8.7748</v>
      </c>
      <c r="E18" s="105">
        <v>1460000</v>
      </c>
      <c r="F18" s="105">
        <v>1460000</v>
      </c>
      <c r="G18" s="105">
        <v>146000000</v>
      </c>
      <c r="H18" s="106">
        <v>2628000000</v>
      </c>
      <c r="I18" s="107">
        <f t="shared" si="0"/>
        <v>8.500003593868666</v>
      </c>
      <c r="J18" s="108">
        <f t="shared" si="1"/>
        <v>12410005.247048251</v>
      </c>
    </row>
    <row r="19" spans="1:10" ht="12.75">
      <c r="A19" s="102">
        <v>41010</v>
      </c>
      <c r="B19" s="103" t="s">
        <v>125</v>
      </c>
      <c r="C19" s="104">
        <v>8.4999</v>
      </c>
      <c r="D19" s="103">
        <v>8.7747</v>
      </c>
      <c r="E19" s="105">
        <v>190000</v>
      </c>
      <c r="F19" s="105">
        <v>190000</v>
      </c>
      <c r="G19" s="105">
        <v>19000000</v>
      </c>
      <c r="H19" s="106">
        <v>341810000</v>
      </c>
      <c r="I19" s="107">
        <f t="shared" si="0"/>
        <v>8.499909707199915</v>
      </c>
      <c r="J19" s="108">
        <f t="shared" si="1"/>
        <v>1614982.844367984</v>
      </c>
    </row>
    <row r="20" spans="1:10" ht="12.75">
      <c r="A20" s="102">
        <v>41023</v>
      </c>
      <c r="B20" s="103" t="s">
        <v>125</v>
      </c>
      <c r="C20" s="104">
        <v>8.4986</v>
      </c>
      <c r="D20" s="103">
        <v>8.7733</v>
      </c>
      <c r="E20" s="105">
        <v>250000</v>
      </c>
      <c r="F20" s="105">
        <v>250000</v>
      </c>
      <c r="G20" s="105">
        <v>25000000</v>
      </c>
      <c r="H20" s="106">
        <v>446250000</v>
      </c>
      <c r="I20" s="107">
        <f t="shared" si="0"/>
        <v>8.498595287040889</v>
      </c>
      <c r="J20" s="108">
        <f t="shared" si="1"/>
        <v>2124648.8217602223</v>
      </c>
    </row>
    <row r="21" spans="1:10" ht="12.75">
      <c r="A21" s="102">
        <v>41024</v>
      </c>
      <c r="B21" s="103" t="s">
        <v>125</v>
      </c>
      <c r="C21" s="104">
        <v>8.4986</v>
      </c>
      <c r="D21" s="103">
        <v>8.7733</v>
      </c>
      <c r="E21" s="105">
        <v>250000</v>
      </c>
      <c r="F21" s="105">
        <v>250000</v>
      </c>
      <c r="G21" s="105">
        <v>25000000</v>
      </c>
      <c r="H21" s="106">
        <v>446000000</v>
      </c>
      <c r="I21" s="107">
        <f t="shared" si="0"/>
        <v>8.498595287040889</v>
      </c>
      <c r="J21" s="108">
        <f t="shared" si="1"/>
        <v>2124648.8217602223</v>
      </c>
    </row>
    <row r="22" spans="1:10" ht="12.75">
      <c r="A22" s="102">
        <v>41008</v>
      </c>
      <c r="B22" s="103" t="s">
        <v>100</v>
      </c>
      <c r="C22" s="104">
        <v>5.678</v>
      </c>
      <c r="D22" s="103">
        <v>5.8</v>
      </c>
      <c r="E22" s="105">
        <v>100000</v>
      </c>
      <c r="F22" s="105">
        <v>103616.41</v>
      </c>
      <c r="G22" s="105">
        <v>10736359.385124</v>
      </c>
      <c r="H22" s="106">
        <v>146824452.97</v>
      </c>
      <c r="I22" s="107">
        <f t="shared" si="0"/>
        <v>5.677954964260401</v>
      </c>
      <c r="J22" s="108">
        <f t="shared" si="1"/>
        <v>588329.3095383411</v>
      </c>
    </row>
    <row r="23" spans="1:10" ht="12.75">
      <c r="A23" s="102">
        <v>41010</v>
      </c>
      <c r="B23" s="103" t="s">
        <v>99</v>
      </c>
      <c r="C23" s="104">
        <v>5.0053</v>
      </c>
      <c r="D23" s="103">
        <v>5.1</v>
      </c>
      <c r="E23" s="105">
        <v>13750</v>
      </c>
      <c r="F23" s="105">
        <v>14176.84</v>
      </c>
      <c r="G23" s="105">
        <v>1461693.164412</v>
      </c>
      <c r="H23" s="106">
        <v>13723181.120000001</v>
      </c>
      <c r="I23" s="107">
        <f t="shared" si="0"/>
        <v>5.0052662391725455</v>
      </c>
      <c r="J23" s="108">
        <f t="shared" si="1"/>
        <v>70958.8586301509</v>
      </c>
    </row>
    <row r="24" spans="1:10" ht="12.75">
      <c r="A24" s="102">
        <v>41010</v>
      </c>
      <c r="B24" s="103" t="s">
        <v>99</v>
      </c>
      <c r="C24" s="104">
        <v>5.0053</v>
      </c>
      <c r="D24" s="103">
        <v>5.1</v>
      </c>
      <c r="E24" s="105">
        <v>13750</v>
      </c>
      <c r="F24" s="105">
        <v>14176.84</v>
      </c>
      <c r="G24" s="105">
        <v>1461693.164412</v>
      </c>
      <c r="H24" s="106">
        <v>13723181.120000001</v>
      </c>
      <c r="I24" s="107">
        <f t="shared" si="0"/>
        <v>5.0052662391725455</v>
      </c>
      <c r="J24" s="108">
        <f t="shared" si="1"/>
        <v>70958.8586301509</v>
      </c>
    </row>
    <row r="25" spans="1:10" ht="12.75">
      <c r="A25" s="102">
        <v>41004</v>
      </c>
      <c r="B25" s="103" t="s">
        <v>121</v>
      </c>
      <c r="C25" s="104">
        <v>0</v>
      </c>
      <c r="D25" s="103">
        <v>6.9142</v>
      </c>
      <c r="E25" s="105">
        <v>6000</v>
      </c>
      <c r="F25" s="105">
        <v>6000</v>
      </c>
      <c r="G25" s="105">
        <v>600000</v>
      </c>
      <c r="H25" s="106">
        <v>4524000</v>
      </c>
      <c r="I25" s="107">
        <f t="shared" si="0"/>
        <v>6.741830679249272</v>
      </c>
      <c r="J25" s="108">
        <f t="shared" si="1"/>
        <v>40450.98407549563</v>
      </c>
    </row>
    <row r="26" spans="1:10" ht="12.75">
      <c r="A26" s="102">
        <v>41026</v>
      </c>
      <c r="B26" s="103" t="s">
        <v>121</v>
      </c>
      <c r="C26" s="104">
        <v>0</v>
      </c>
      <c r="D26" s="103">
        <v>6.9192</v>
      </c>
      <c r="E26" s="105">
        <v>25000</v>
      </c>
      <c r="F26" s="105">
        <v>25000</v>
      </c>
      <c r="G26" s="105">
        <v>2500000</v>
      </c>
      <c r="H26" s="106">
        <v>18300000</v>
      </c>
      <c r="I26" s="107">
        <f t="shared" si="0"/>
        <v>6.746586066018168</v>
      </c>
      <c r="J26" s="108">
        <f t="shared" si="1"/>
        <v>168664.65165045418</v>
      </c>
    </row>
    <row r="27" spans="1:10" ht="12.75">
      <c r="A27" s="102">
        <v>41016</v>
      </c>
      <c r="B27" s="103" t="s">
        <v>158</v>
      </c>
      <c r="C27" s="104">
        <v>8.5</v>
      </c>
      <c r="D27" s="103">
        <v>8.7748</v>
      </c>
      <c r="E27" s="105">
        <v>4200000</v>
      </c>
      <c r="F27" s="105">
        <v>4199832.46</v>
      </c>
      <c r="G27" s="105">
        <v>419966446.67016</v>
      </c>
      <c r="H27" s="106">
        <v>7471501946.34</v>
      </c>
      <c r="I27" s="107">
        <f t="shared" si="0"/>
        <v>8.500003593868666</v>
      </c>
      <c r="J27" s="108">
        <f t="shared" si="1"/>
        <v>35698591.00364628</v>
      </c>
    </row>
    <row r="28" spans="1:10" ht="12.75">
      <c r="A28" s="102">
        <v>41009</v>
      </c>
      <c r="B28" s="103" t="s">
        <v>158</v>
      </c>
      <c r="C28" s="104">
        <v>8.5</v>
      </c>
      <c r="D28" s="103">
        <v>8.7748</v>
      </c>
      <c r="E28" s="105">
        <v>4680000</v>
      </c>
      <c r="F28" s="105">
        <v>4679862.99</v>
      </c>
      <c r="G28" s="105">
        <v>467972727.39732903</v>
      </c>
      <c r="H28" s="106">
        <v>8358235300.14</v>
      </c>
      <c r="I28" s="107">
        <f t="shared" si="0"/>
        <v>8.500003593868666</v>
      </c>
      <c r="J28" s="108">
        <f t="shared" si="1"/>
        <v>39778852.233812965</v>
      </c>
    </row>
    <row r="29" spans="1:10" ht="12.75">
      <c r="A29" s="102">
        <v>41009</v>
      </c>
      <c r="B29" s="103" t="s">
        <v>114</v>
      </c>
      <c r="C29" s="104">
        <v>6.5</v>
      </c>
      <c r="D29" s="103">
        <v>6.6602</v>
      </c>
      <c r="E29" s="105">
        <v>550002.25</v>
      </c>
      <c r="F29" s="105">
        <v>549999.2</v>
      </c>
      <c r="G29" s="105">
        <v>54999590.00047999</v>
      </c>
      <c r="H29" s="106">
        <v>690798995.1999999</v>
      </c>
      <c r="I29" s="107">
        <f t="shared" si="0"/>
        <v>6.500037274046466</v>
      </c>
      <c r="J29" s="108">
        <f t="shared" si="1"/>
        <v>3575015.300695737</v>
      </c>
    </row>
    <row r="30" spans="1:10" ht="12.75">
      <c r="A30" s="109">
        <v>41012</v>
      </c>
      <c r="B30" s="110" t="s">
        <v>114</v>
      </c>
      <c r="C30" s="111">
        <v>6.5</v>
      </c>
      <c r="D30" s="110">
        <v>6.6602</v>
      </c>
      <c r="E30" s="112">
        <v>297500</v>
      </c>
      <c r="F30" s="112">
        <v>297497.21</v>
      </c>
      <c r="G30" s="112">
        <v>29749453.252511002</v>
      </c>
      <c r="H30" s="113">
        <v>372764004.13000005</v>
      </c>
      <c r="I30" s="107">
        <f>+((1+D30/100)^(90/360)-1)*(400)</f>
        <v>6.500037274046466</v>
      </c>
      <c r="J30" s="108">
        <f t="shared" si="1"/>
        <v>1933742.9539248291</v>
      </c>
    </row>
    <row r="31" spans="1:12" ht="12.75">
      <c r="A31" s="114"/>
      <c r="B31" s="114"/>
      <c r="C31" s="114"/>
      <c r="D31" s="114"/>
      <c r="E31" s="115">
        <f>+SUM(E6:E30)</f>
        <v>15189759.69</v>
      </c>
      <c r="F31" s="115">
        <f>+SUM(F6:F30)</f>
        <v>15228301.03</v>
      </c>
      <c r="G31" s="115">
        <f>+SUM(G6:G30)</f>
        <v>1526857136.4270132</v>
      </c>
      <c r="H31" s="115">
        <f>+SUM(H6:H30)</f>
        <v>25320496352.780003</v>
      </c>
      <c r="I31" s="115"/>
      <c r="J31" s="115">
        <f>+SUM(J6:J30)</f>
        <v>123704951.9743826</v>
      </c>
      <c r="K31" s="91"/>
      <c r="L31" s="92"/>
    </row>
    <row r="32" ht="13.5" thickBot="1"/>
    <row r="33" spans="1:5" ht="13.5" thickBot="1">
      <c r="A33" s="116"/>
      <c r="B33" s="124" t="s">
        <v>12</v>
      </c>
      <c r="C33" s="125" t="s">
        <v>36</v>
      </c>
      <c r="D33" s="125" t="s">
        <v>13</v>
      </c>
      <c r="E33" s="126" t="s">
        <v>37</v>
      </c>
    </row>
    <row r="34" spans="1:5" ht="13.5" thickBot="1">
      <c r="A34" s="127">
        <f>+A2</f>
        <v>41030</v>
      </c>
      <c r="B34" s="120">
        <f>+F31</f>
        <v>15228301.03</v>
      </c>
      <c r="C34" s="121">
        <f>+J31/F31</f>
        <v>8.123358720758267</v>
      </c>
      <c r="D34" s="122">
        <f>+H31/F31</f>
        <v>1662.726281999431</v>
      </c>
      <c r="E34" s="123">
        <f>+G31/F31</f>
        <v>100.26444403870661</v>
      </c>
    </row>
    <row r="37" ht="12.75">
      <c r="A37" s="18">
        <f>+A2-15</f>
        <v>41015</v>
      </c>
    </row>
    <row r="38" ht="12.75">
      <c r="A38" s="18"/>
    </row>
    <row r="39" ht="12.75">
      <c r="A39" s="18"/>
    </row>
    <row r="40" spans="1:10" ht="12.75">
      <c r="A40" s="128" t="s">
        <v>184</v>
      </c>
      <c r="B40" s="129" t="s">
        <v>0</v>
      </c>
      <c r="C40" s="130" t="s">
        <v>186</v>
      </c>
      <c r="D40" s="129" t="s">
        <v>187</v>
      </c>
      <c r="E40" s="131" t="s">
        <v>188</v>
      </c>
      <c r="F40" s="131" t="s">
        <v>190</v>
      </c>
      <c r="G40" s="131" t="s">
        <v>193</v>
      </c>
      <c r="H40" s="129" t="s">
        <v>194</v>
      </c>
      <c r="I40" s="132" t="s">
        <v>93</v>
      </c>
      <c r="J40" s="132" t="s">
        <v>195</v>
      </c>
    </row>
    <row r="41" spans="1:10" ht="12.75">
      <c r="A41" s="134">
        <v>40975</v>
      </c>
      <c r="B41" s="135" t="s">
        <v>154</v>
      </c>
      <c r="C41" s="136">
        <v>0</v>
      </c>
      <c r="D41" s="135">
        <v>6.6638</v>
      </c>
      <c r="E41" s="137">
        <v>250000</v>
      </c>
      <c r="F41" s="137">
        <v>250000</v>
      </c>
      <c r="G41" s="137">
        <v>25000000</v>
      </c>
      <c r="H41" s="138">
        <v>165000000</v>
      </c>
      <c r="I41" s="139">
        <f>+((1+D41/100)^(90/360)-1)*(400)</f>
        <v>6.503467282644504</v>
      </c>
      <c r="J41" s="140">
        <f aca="true" t="shared" si="2" ref="J41:J72">+I41*F41</f>
        <v>1625866.820661126</v>
      </c>
    </row>
    <row r="42" spans="1:10" ht="12.75">
      <c r="A42" s="134">
        <v>40975</v>
      </c>
      <c r="B42" s="135" t="s">
        <v>154</v>
      </c>
      <c r="C42" s="136">
        <v>6.5</v>
      </c>
      <c r="D42" s="135">
        <v>6.6602</v>
      </c>
      <c r="E42" s="137">
        <v>400000</v>
      </c>
      <c r="F42" s="137">
        <v>400000</v>
      </c>
      <c r="G42" s="137">
        <v>40000000</v>
      </c>
      <c r="H42" s="138">
        <v>288000000</v>
      </c>
      <c r="I42" s="139">
        <f>+((1+D42/100)^(90/360)-1)*(400)</f>
        <v>6.500037274046466</v>
      </c>
      <c r="J42" s="140">
        <f t="shared" si="2"/>
        <v>2600014.9096185863</v>
      </c>
    </row>
    <row r="43" spans="1:10" ht="12.75">
      <c r="A43" s="134">
        <v>40975</v>
      </c>
      <c r="B43" s="135" t="s">
        <v>154</v>
      </c>
      <c r="C43" s="136">
        <v>0</v>
      </c>
      <c r="D43" s="135">
        <v>6.6638</v>
      </c>
      <c r="E43" s="137">
        <v>850000</v>
      </c>
      <c r="F43" s="137">
        <v>850000</v>
      </c>
      <c r="G43" s="137">
        <v>85000000</v>
      </c>
      <c r="H43" s="138">
        <v>561000000</v>
      </c>
      <c r="I43" s="139">
        <f aca="true" t="shared" si="3" ref="I43:I89">+((1+D43/100)^(90/360)-1)*(400)</f>
        <v>6.503467282644504</v>
      </c>
      <c r="J43" s="140">
        <f t="shared" si="2"/>
        <v>5527947.190247828</v>
      </c>
    </row>
    <row r="44" spans="1:10" ht="12.75">
      <c r="A44" s="134">
        <v>40984</v>
      </c>
      <c r="B44" s="135" t="s">
        <v>118</v>
      </c>
      <c r="C44" s="136">
        <v>0</v>
      </c>
      <c r="D44" s="135">
        <v>8.3</v>
      </c>
      <c r="E44" s="137">
        <v>15111.11</v>
      </c>
      <c r="F44" s="137">
        <v>15111.11</v>
      </c>
      <c r="G44" s="137">
        <v>1511111</v>
      </c>
      <c r="H44" s="138">
        <v>15413332.200000001</v>
      </c>
      <c r="I44" s="139">
        <f t="shared" si="3"/>
        <v>8.053498308212603</v>
      </c>
      <c r="J44" s="140">
        <f t="shared" si="2"/>
        <v>121697.29882021455</v>
      </c>
    </row>
    <row r="45" spans="1:10" ht="12.75">
      <c r="A45" s="134">
        <v>40987</v>
      </c>
      <c r="B45" s="135" t="s">
        <v>155</v>
      </c>
      <c r="C45" s="136">
        <v>6.8</v>
      </c>
      <c r="D45" s="135">
        <v>6.9754</v>
      </c>
      <c r="E45" s="137">
        <v>379195</v>
      </c>
      <c r="F45" s="137">
        <v>378574.17</v>
      </c>
      <c r="G45" s="137">
        <v>37795406.550954</v>
      </c>
      <c r="H45" s="138">
        <v>151429668</v>
      </c>
      <c r="I45" s="139">
        <f t="shared" si="3"/>
        <v>6.800025143648369</v>
      </c>
      <c r="J45" s="140">
        <f t="shared" si="2"/>
        <v>2574313.874735812</v>
      </c>
    </row>
    <row r="46" spans="1:10" ht="12.75">
      <c r="A46" s="134">
        <v>40975</v>
      </c>
      <c r="B46" s="135" t="s">
        <v>131</v>
      </c>
      <c r="C46" s="136">
        <v>8.25</v>
      </c>
      <c r="D46" s="135">
        <v>8.5088</v>
      </c>
      <c r="E46" s="137">
        <v>1880000</v>
      </c>
      <c r="F46" s="137">
        <v>1879922.72</v>
      </c>
      <c r="G46" s="137">
        <v>187984564.316848</v>
      </c>
      <c r="H46" s="138">
        <v>1985198392.32</v>
      </c>
      <c r="I46" s="139">
        <f t="shared" si="3"/>
        <v>8.250035795761956</v>
      </c>
      <c r="J46" s="140">
        <f t="shared" si="2"/>
        <v>15509429.73326618</v>
      </c>
    </row>
    <row r="47" spans="1:10" ht="12.75">
      <c r="A47" s="134">
        <v>40975</v>
      </c>
      <c r="B47" s="135" t="s">
        <v>131</v>
      </c>
      <c r="C47" s="136">
        <v>8.25</v>
      </c>
      <c r="D47" s="135">
        <v>8.5088</v>
      </c>
      <c r="E47" s="137">
        <v>100000</v>
      </c>
      <c r="F47" s="137">
        <v>99995.9</v>
      </c>
      <c r="G47" s="137">
        <v>9999180.01681</v>
      </c>
      <c r="H47" s="138">
        <v>105595670.39999999</v>
      </c>
      <c r="I47" s="139">
        <f t="shared" si="3"/>
        <v>8.250035795761956</v>
      </c>
      <c r="J47" s="140">
        <f t="shared" si="2"/>
        <v>824969.7544294329</v>
      </c>
    </row>
    <row r="48" spans="1:10" ht="12.75">
      <c r="A48" s="134">
        <v>40975</v>
      </c>
      <c r="B48" s="135" t="s">
        <v>131</v>
      </c>
      <c r="C48" s="136">
        <v>8.2474</v>
      </c>
      <c r="D48" s="135">
        <v>8.506</v>
      </c>
      <c r="E48" s="137">
        <v>100000</v>
      </c>
      <c r="F48" s="137">
        <v>100000</v>
      </c>
      <c r="G48" s="137">
        <v>10000000</v>
      </c>
      <c r="H48" s="138">
        <v>105600000</v>
      </c>
      <c r="I48" s="139">
        <f t="shared" si="3"/>
        <v>8.2474021126834</v>
      </c>
      <c r="J48" s="140">
        <f t="shared" si="2"/>
        <v>824740.21126834</v>
      </c>
    </row>
    <row r="49" spans="1:10" ht="12.75">
      <c r="A49" s="134">
        <v>40989</v>
      </c>
      <c r="B49" s="135" t="s">
        <v>131</v>
      </c>
      <c r="C49" s="136">
        <v>8.2467</v>
      </c>
      <c r="D49" s="135">
        <v>8.5052</v>
      </c>
      <c r="E49" s="137">
        <v>130000</v>
      </c>
      <c r="F49" s="137">
        <v>130000</v>
      </c>
      <c r="G49" s="137">
        <v>13000000</v>
      </c>
      <c r="H49" s="138">
        <v>135330000</v>
      </c>
      <c r="I49" s="139">
        <f t="shared" si="3"/>
        <v>8.246649622441637</v>
      </c>
      <c r="J49" s="140">
        <f t="shared" si="2"/>
        <v>1072064.4509174128</v>
      </c>
    </row>
    <row r="50" spans="1:10" ht="12.75">
      <c r="A50" s="134">
        <v>40989</v>
      </c>
      <c r="B50" s="135" t="s">
        <v>131</v>
      </c>
      <c r="C50" s="136">
        <v>8.2466</v>
      </c>
      <c r="D50" s="135">
        <v>8.5052</v>
      </c>
      <c r="E50" s="137">
        <v>200000</v>
      </c>
      <c r="F50" s="137">
        <v>200000</v>
      </c>
      <c r="G50" s="137">
        <v>20000000</v>
      </c>
      <c r="H50" s="138">
        <v>208000000</v>
      </c>
      <c r="I50" s="139">
        <f t="shared" si="3"/>
        <v>8.246649622441637</v>
      </c>
      <c r="J50" s="140">
        <f t="shared" si="2"/>
        <v>1649329.9244883275</v>
      </c>
    </row>
    <row r="51" spans="1:10" ht="12.75">
      <c r="A51" s="134">
        <v>40970</v>
      </c>
      <c r="B51" s="135" t="s">
        <v>131</v>
      </c>
      <c r="C51" s="136">
        <v>8.2475</v>
      </c>
      <c r="D51" s="135">
        <v>8.5062</v>
      </c>
      <c r="E51" s="137">
        <v>65000</v>
      </c>
      <c r="F51" s="137">
        <v>65000</v>
      </c>
      <c r="G51" s="137">
        <v>6500000</v>
      </c>
      <c r="H51" s="138">
        <v>68770000</v>
      </c>
      <c r="I51" s="139">
        <f t="shared" si="3"/>
        <v>8.247590234593627</v>
      </c>
      <c r="J51" s="140">
        <f t="shared" si="2"/>
        <v>536093.3652485857</v>
      </c>
    </row>
    <row r="52" spans="1:10" ht="12.75">
      <c r="A52" s="134">
        <v>40970</v>
      </c>
      <c r="B52" s="135" t="s">
        <v>131</v>
      </c>
      <c r="C52" s="136">
        <v>8.2475</v>
      </c>
      <c r="D52" s="135">
        <v>8.5062</v>
      </c>
      <c r="E52" s="137">
        <v>20000</v>
      </c>
      <c r="F52" s="137">
        <v>20000</v>
      </c>
      <c r="G52" s="137">
        <v>2000000</v>
      </c>
      <c r="H52" s="138">
        <v>21160000</v>
      </c>
      <c r="I52" s="139">
        <f t="shared" si="3"/>
        <v>8.247590234593627</v>
      </c>
      <c r="J52" s="140">
        <f t="shared" si="2"/>
        <v>164951.80469187253</v>
      </c>
    </row>
    <row r="53" spans="1:10" ht="12.75">
      <c r="A53" s="134">
        <v>40982</v>
      </c>
      <c r="B53" s="135" t="s">
        <v>131</v>
      </c>
      <c r="C53" s="136">
        <v>8.247</v>
      </c>
      <c r="D53" s="135">
        <v>8.5055</v>
      </c>
      <c r="E53" s="137">
        <v>40000</v>
      </c>
      <c r="F53" s="137">
        <v>40000</v>
      </c>
      <c r="G53" s="137">
        <v>4000000</v>
      </c>
      <c r="H53" s="138">
        <v>41960000</v>
      </c>
      <c r="I53" s="139">
        <f t="shared" si="3"/>
        <v>8.246931806769897</v>
      </c>
      <c r="J53" s="140">
        <f t="shared" si="2"/>
        <v>329877.2722707959</v>
      </c>
    </row>
    <row r="54" spans="1:10" ht="12.75">
      <c r="A54" s="134">
        <v>40983</v>
      </c>
      <c r="B54" s="135" t="s">
        <v>131</v>
      </c>
      <c r="C54" s="136">
        <v>8.2469</v>
      </c>
      <c r="D54" s="135">
        <v>8.5055</v>
      </c>
      <c r="E54" s="137">
        <v>280000</v>
      </c>
      <c r="F54" s="137">
        <v>280000</v>
      </c>
      <c r="G54" s="137">
        <v>28000000</v>
      </c>
      <c r="H54" s="138">
        <v>293440000</v>
      </c>
      <c r="I54" s="139">
        <f t="shared" si="3"/>
        <v>8.246931806769897</v>
      </c>
      <c r="J54" s="140">
        <f t="shared" si="2"/>
        <v>2309140.905895571</v>
      </c>
    </row>
    <row r="55" spans="1:10" ht="12.75">
      <c r="A55" s="134">
        <v>40983</v>
      </c>
      <c r="B55" s="135" t="s">
        <v>131</v>
      </c>
      <c r="C55" s="136">
        <v>8.2469</v>
      </c>
      <c r="D55" s="135">
        <v>8.5054</v>
      </c>
      <c r="E55" s="137">
        <v>590000</v>
      </c>
      <c r="F55" s="137">
        <v>590000</v>
      </c>
      <c r="G55" s="137">
        <v>59000000</v>
      </c>
      <c r="H55" s="138">
        <v>617730000</v>
      </c>
      <c r="I55" s="139">
        <f t="shared" si="3"/>
        <v>8.246837745392188</v>
      </c>
      <c r="J55" s="140">
        <f t="shared" si="2"/>
        <v>4865634.269781391</v>
      </c>
    </row>
    <row r="56" spans="1:10" ht="12.75">
      <c r="A56" s="134">
        <v>40984</v>
      </c>
      <c r="B56" s="135" t="s">
        <v>131</v>
      </c>
      <c r="C56" s="136">
        <v>8.2469</v>
      </c>
      <c r="D56" s="135">
        <v>8.5054</v>
      </c>
      <c r="E56" s="137">
        <v>40000</v>
      </c>
      <c r="F56" s="137">
        <v>40000</v>
      </c>
      <c r="G56" s="137">
        <v>4000000</v>
      </c>
      <c r="H56" s="138">
        <v>41880000</v>
      </c>
      <c r="I56" s="139">
        <f t="shared" si="3"/>
        <v>8.246837745392188</v>
      </c>
      <c r="J56" s="140">
        <f t="shared" si="2"/>
        <v>329873.50981568755</v>
      </c>
    </row>
    <row r="57" spans="1:10" ht="12.75">
      <c r="A57" s="134">
        <v>40987</v>
      </c>
      <c r="B57" s="135" t="s">
        <v>131</v>
      </c>
      <c r="C57" s="136">
        <v>8.2467</v>
      </c>
      <c r="D57" s="135">
        <v>8.5053</v>
      </c>
      <c r="E57" s="137">
        <v>100000</v>
      </c>
      <c r="F57" s="137">
        <v>100000</v>
      </c>
      <c r="G57" s="137">
        <v>10000000</v>
      </c>
      <c r="H57" s="138">
        <v>104400000</v>
      </c>
      <c r="I57" s="139">
        <f t="shared" si="3"/>
        <v>8.246743683949465</v>
      </c>
      <c r="J57" s="140">
        <f t="shared" si="2"/>
        <v>824674.3683949464</v>
      </c>
    </row>
    <row r="58" spans="1:10" ht="12.75">
      <c r="A58" s="134">
        <v>40987</v>
      </c>
      <c r="B58" s="135" t="s">
        <v>131</v>
      </c>
      <c r="C58" s="136">
        <v>8.2467</v>
      </c>
      <c r="D58" s="135">
        <v>8.5053</v>
      </c>
      <c r="E58" s="137">
        <v>15000</v>
      </c>
      <c r="F58" s="137">
        <v>15000</v>
      </c>
      <c r="G58" s="137">
        <v>1500000</v>
      </c>
      <c r="H58" s="138">
        <v>15645000</v>
      </c>
      <c r="I58" s="139">
        <f t="shared" si="3"/>
        <v>8.246743683949465</v>
      </c>
      <c r="J58" s="140">
        <f t="shared" si="2"/>
        <v>123701.15525924196</v>
      </c>
    </row>
    <row r="59" spans="1:10" ht="12.75">
      <c r="A59" s="134">
        <v>40988</v>
      </c>
      <c r="B59" s="135" t="s">
        <v>131</v>
      </c>
      <c r="C59" s="136">
        <v>8.2467</v>
      </c>
      <c r="D59" s="135">
        <v>8.5052</v>
      </c>
      <c r="E59" s="137">
        <v>200000</v>
      </c>
      <c r="F59" s="137">
        <v>200000</v>
      </c>
      <c r="G59" s="137">
        <v>20000000</v>
      </c>
      <c r="H59" s="138">
        <v>208400000</v>
      </c>
      <c r="I59" s="139">
        <f t="shared" si="3"/>
        <v>8.246649622441637</v>
      </c>
      <c r="J59" s="140">
        <f t="shared" si="2"/>
        <v>1649329.9244883275</v>
      </c>
    </row>
    <row r="60" spans="1:10" ht="12.75">
      <c r="A60" s="134">
        <v>40988</v>
      </c>
      <c r="B60" s="135" t="s">
        <v>117</v>
      </c>
      <c r="C60" s="136">
        <v>7.9981</v>
      </c>
      <c r="D60" s="135">
        <v>8.2412</v>
      </c>
      <c r="E60" s="137">
        <v>709762.41</v>
      </c>
      <c r="F60" s="137">
        <v>709762.41</v>
      </c>
      <c r="G60" s="137">
        <v>70976241</v>
      </c>
      <c r="H60" s="138">
        <v>943274242.89</v>
      </c>
      <c r="I60" s="139">
        <f t="shared" si="3"/>
        <v>7.998100264905261</v>
      </c>
      <c r="J60" s="140">
        <f t="shared" si="2"/>
        <v>5676750.919440797</v>
      </c>
    </row>
    <row r="61" spans="1:10" ht="12.75">
      <c r="A61" s="134">
        <v>40989</v>
      </c>
      <c r="B61" s="135" t="s">
        <v>117</v>
      </c>
      <c r="C61" s="136">
        <v>7.998</v>
      </c>
      <c r="D61" s="135">
        <v>8.2411</v>
      </c>
      <c r="E61" s="137">
        <v>99366.74</v>
      </c>
      <c r="F61" s="137">
        <v>99366.74</v>
      </c>
      <c r="G61" s="137">
        <v>9936674</v>
      </c>
      <c r="H61" s="138">
        <v>131959030.72000001</v>
      </c>
      <c r="I61" s="139">
        <f t="shared" si="3"/>
        <v>7.998006031322813</v>
      </c>
      <c r="J61" s="140">
        <f t="shared" si="2"/>
        <v>794735.7858328859</v>
      </c>
    </row>
    <row r="62" spans="1:10" ht="12.75">
      <c r="A62" s="134">
        <v>40969</v>
      </c>
      <c r="B62" s="135" t="s">
        <v>156</v>
      </c>
      <c r="C62" s="136">
        <v>7.5</v>
      </c>
      <c r="D62" s="135">
        <v>7.7136</v>
      </c>
      <c r="E62" s="137">
        <v>220000</v>
      </c>
      <c r="F62" s="137">
        <v>218635.97</v>
      </c>
      <c r="G62" s="137">
        <v>21728042.698599998</v>
      </c>
      <c r="H62" s="138">
        <v>222134145.52</v>
      </c>
      <c r="I62" s="139">
        <f t="shared" si="3"/>
        <v>7.500012694114311</v>
      </c>
      <c r="J62" s="140">
        <f t="shared" si="2"/>
        <v>1639772.5503899956</v>
      </c>
    </row>
    <row r="63" spans="1:10" ht="12.75">
      <c r="A63" s="134">
        <v>40980</v>
      </c>
      <c r="B63" s="135" t="s">
        <v>133</v>
      </c>
      <c r="C63" s="136">
        <v>0</v>
      </c>
      <c r="D63" s="135">
        <v>8.6683</v>
      </c>
      <c r="E63" s="137">
        <v>120000</v>
      </c>
      <c r="F63" s="137">
        <v>120754.8</v>
      </c>
      <c r="G63" s="137">
        <v>12151434.7692</v>
      </c>
      <c r="H63" s="138">
        <v>130294429.2</v>
      </c>
      <c r="I63" s="139">
        <f t="shared" si="3"/>
        <v>8.399977593367414</v>
      </c>
      <c r="J63" s="140">
        <f t="shared" si="2"/>
        <v>1014337.6142915634</v>
      </c>
    </row>
    <row r="64" spans="1:10" ht="12.75">
      <c r="A64" s="134">
        <v>40980</v>
      </c>
      <c r="B64" s="135" t="s">
        <v>133</v>
      </c>
      <c r="C64" s="136">
        <v>0</v>
      </c>
      <c r="D64" s="135">
        <v>8.6683</v>
      </c>
      <c r="E64" s="137">
        <v>150000</v>
      </c>
      <c r="F64" s="137">
        <v>150943.5</v>
      </c>
      <c r="G64" s="137">
        <v>15189293.4615</v>
      </c>
      <c r="H64" s="138">
        <v>162868036.5</v>
      </c>
      <c r="I64" s="139">
        <f t="shared" si="3"/>
        <v>8.399977593367414</v>
      </c>
      <c r="J64" s="140">
        <f t="shared" si="2"/>
        <v>1267922.0178644543</v>
      </c>
    </row>
    <row r="65" spans="1:10" ht="12.75">
      <c r="A65" s="134">
        <v>40996</v>
      </c>
      <c r="B65" s="135" t="s">
        <v>134</v>
      </c>
      <c r="C65" s="136">
        <v>7.4398</v>
      </c>
      <c r="D65" s="135">
        <v>7.65</v>
      </c>
      <c r="E65" s="137">
        <v>80000</v>
      </c>
      <c r="F65" s="137">
        <v>80204.15</v>
      </c>
      <c r="G65" s="137">
        <v>8040883.099079999</v>
      </c>
      <c r="H65" s="138">
        <v>179577091.85</v>
      </c>
      <c r="I65" s="139">
        <f t="shared" si="3"/>
        <v>7.439846797374816</v>
      </c>
      <c r="J65" s="140">
        <f t="shared" si="2"/>
        <v>596706.5885136693</v>
      </c>
    </row>
    <row r="66" spans="1:10" ht="12.75">
      <c r="A66" s="134">
        <v>40990</v>
      </c>
      <c r="B66" s="135" t="s">
        <v>125</v>
      </c>
      <c r="C66" s="136">
        <v>8.4975</v>
      </c>
      <c r="D66" s="135">
        <v>8.7721</v>
      </c>
      <c r="E66" s="137">
        <v>25000</v>
      </c>
      <c r="F66" s="137">
        <v>25000</v>
      </c>
      <c r="G66" s="137">
        <v>2500000</v>
      </c>
      <c r="H66" s="138">
        <v>43950000</v>
      </c>
      <c r="I66" s="139">
        <f t="shared" si="3"/>
        <v>8.497468631091465</v>
      </c>
      <c r="J66" s="140">
        <f t="shared" si="2"/>
        <v>212436.71577728662</v>
      </c>
    </row>
    <row r="67" spans="1:10" ht="12.75">
      <c r="A67" s="134">
        <v>40973</v>
      </c>
      <c r="B67" s="135" t="s">
        <v>125</v>
      </c>
      <c r="C67" s="136">
        <v>8.498</v>
      </c>
      <c r="D67" s="135">
        <v>8.7727</v>
      </c>
      <c r="E67" s="137">
        <v>400000</v>
      </c>
      <c r="F67" s="137">
        <v>400000</v>
      </c>
      <c r="G67" s="137">
        <v>40000000</v>
      </c>
      <c r="H67" s="138">
        <v>710000000</v>
      </c>
      <c r="I67" s="139">
        <f t="shared" si="3"/>
        <v>8.498031960231511</v>
      </c>
      <c r="J67" s="140">
        <f t="shared" si="2"/>
        <v>3399212.7840926046</v>
      </c>
    </row>
    <row r="68" spans="1:10" ht="12.75">
      <c r="A68" s="134">
        <v>40998</v>
      </c>
      <c r="B68" s="135" t="s">
        <v>125</v>
      </c>
      <c r="C68" s="136">
        <v>8.4975</v>
      </c>
      <c r="D68" s="135">
        <v>8.7721</v>
      </c>
      <c r="E68" s="137">
        <v>150000</v>
      </c>
      <c r="F68" s="137">
        <v>150000</v>
      </c>
      <c r="G68" s="137">
        <v>15000000</v>
      </c>
      <c r="H68" s="138">
        <v>262500000</v>
      </c>
      <c r="I68" s="139">
        <f t="shared" si="3"/>
        <v>8.497468631091465</v>
      </c>
      <c r="J68" s="140">
        <f t="shared" si="2"/>
        <v>1274620.2946637198</v>
      </c>
    </row>
    <row r="69" spans="1:10" ht="12.75">
      <c r="A69" s="134">
        <v>40981</v>
      </c>
      <c r="B69" s="135" t="s">
        <v>121</v>
      </c>
      <c r="C69" s="136">
        <v>0</v>
      </c>
      <c r="D69" s="135">
        <v>6.9109</v>
      </c>
      <c r="E69" s="137">
        <v>34000</v>
      </c>
      <c r="F69" s="137">
        <v>34000</v>
      </c>
      <c r="G69" s="137">
        <v>3400000</v>
      </c>
      <c r="H69" s="138">
        <v>26384000</v>
      </c>
      <c r="I69" s="139">
        <f t="shared" si="3"/>
        <v>6.738692032611038</v>
      </c>
      <c r="J69" s="140">
        <f t="shared" si="2"/>
        <v>229115.52910877528</v>
      </c>
    </row>
    <row r="70" spans="1:10" ht="12.75">
      <c r="A70" s="134">
        <v>40981</v>
      </c>
      <c r="B70" s="135" t="s">
        <v>121</v>
      </c>
      <c r="C70" s="136">
        <v>0</v>
      </c>
      <c r="D70" s="135">
        <v>6.9109</v>
      </c>
      <c r="E70" s="137">
        <v>20000</v>
      </c>
      <c r="F70" s="137">
        <v>20000</v>
      </c>
      <c r="G70" s="137">
        <v>2000000</v>
      </c>
      <c r="H70" s="138">
        <v>15520000</v>
      </c>
      <c r="I70" s="139">
        <f t="shared" si="3"/>
        <v>6.738692032611038</v>
      </c>
      <c r="J70" s="140">
        <f t="shared" si="2"/>
        <v>134773.84065222077</v>
      </c>
    </row>
    <row r="71" spans="1:10" ht="12.75">
      <c r="A71" s="134">
        <v>40994</v>
      </c>
      <c r="B71" s="135" t="s">
        <v>121</v>
      </c>
      <c r="C71" s="136">
        <v>0</v>
      </c>
      <c r="D71" s="135">
        <v>6.9126</v>
      </c>
      <c r="E71" s="137">
        <v>30000</v>
      </c>
      <c r="F71" s="137">
        <v>30000</v>
      </c>
      <c r="G71" s="137">
        <v>3000000</v>
      </c>
      <c r="H71" s="138">
        <v>22890000</v>
      </c>
      <c r="I71" s="139">
        <f t="shared" si="3"/>
        <v>6.740308920256322</v>
      </c>
      <c r="J71" s="140">
        <f t="shared" si="2"/>
        <v>202209.26760768966</v>
      </c>
    </row>
    <row r="72" spans="1:10" ht="12.75">
      <c r="A72" s="134">
        <v>40994</v>
      </c>
      <c r="B72" s="135" t="s">
        <v>121</v>
      </c>
      <c r="C72" s="136">
        <v>0</v>
      </c>
      <c r="D72" s="135">
        <v>6.9126</v>
      </c>
      <c r="E72" s="137">
        <v>2000</v>
      </c>
      <c r="F72" s="137">
        <v>2000</v>
      </c>
      <c r="G72" s="137">
        <v>200000</v>
      </c>
      <c r="H72" s="138">
        <v>1526000</v>
      </c>
      <c r="I72" s="139">
        <f t="shared" si="3"/>
        <v>6.740308920256322</v>
      </c>
      <c r="J72" s="140">
        <f t="shared" si="2"/>
        <v>13480.617840512643</v>
      </c>
    </row>
    <row r="73" spans="1:10" ht="12.75">
      <c r="A73" s="134">
        <v>40988</v>
      </c>
      <c r="B73" s="135" t="s">
        <v>121</v>
      </c>
      <c r="C73" s="136">
        <v>0</v>
      </c>
      <c r="D73" s="135">
        <v>6.9118</v>
      </c>
      <c r="E73" s="137">
        <v>26000</v>
      </c>
      <c r="F73" s="137">
        <v>26000</v>
      </c>
      <c r="G73" s="137">
        <v>2600000</v>
      </c>
      <c r="H73" s="138">
        <v>19994000</v>
      </c>
      <c r="I73" s="139">
        <f t="shared" si="3"/>
        <v>6.73954803435457</v>
      </c>
      <c r="J73" s="140">
        <f aca="true" t="shared" si="4" ref="J73:J89">+I73*F73</f>
        <v>175228.2488932188</v>
      </c>
    </row>
    <row r="74" spans="1:10" ht="12.75">
      <c r="A74" s="134">
        <v>40997</v>
      </c>
      <c r="B74" s="135" t="s">
        <v>121</v>
      </c>
      <c r="C74" s="136">
        <v>0</v>
      </c>
      <c r="D74" s="135">
        <v>6.6582</v>
      </c>
      <c r="E74" s="137">
        <v>1000000</v>
      </c>
      <c r="F74" s="137">
        <v>1000000</v>
      </c>
      <c r="G74" s="137">
        <v>100000000</v>
      </c>
      <c r="H74" s="138">
        <v>730000000</v>
      </c>
      <c r="I74" s="139">
        <f t="shared" si="3"/>
        <v>6.498131676196106</v>
      </c>
      <c r="J74" s="140">
        <f t="shared" si="4"/>
        <v>6498131.676196106</v>
      </c>
    </row>
    <row r="75" spans="1:10" ht="12.75">
      <c r="A75" s="134">
        <v>40991</v>
      </c>
      <c r="B75" s="135" t="s">
        <v>137</v>
      </c>
      <c r="C75" s="136">
        <v>0</v>
      </c>
      <c r="D75" s="135">
        <v>6.0198</v>
      </c>
      <c r="E75" s="137">
        <v>2440201.66</v>
      </c>
      <c r="F75" s="137">
        <v>2440201.66</v>
      </c>
      <c r="G75" s="137">
        <v>244020166</v>
      </c>
      <c r="H75" s="138">
        <v>3936045277.5800004</v>
      </c>
      <c r="I75" s="139">
        <f t="shared" si="3"/>
        <v>5.888490481635245</v>
      </c>
      <c r="J75" s="140">
        <f t="shared" si="4"/>
        <v>14369104.248180524</v>
      </c>
    </row>
    <row r="76" spans="1:10" ht="12.75">
      <c r="A76" s="134">
        <v>40995</v>
      </c>
      <c r="B76" s="135" t="s">
        <v>157</v>
      </c>
      <c r="C76" s="136">
        <v>0</v>
      </c>
      <c r="D76" s="135">
        <v>5.999</v>
      </c>
      <c r="E76" s="137">
        <v>15800000</v>
      </c>
      <c r="F76" s="137">
        <v>15800000</v>
      </c>
      <c r="G76" s="137">
        <v>1580000000</v>
      </c>
      <c r="H76" s="138">
        <v>30636200000</v>
      </c>
      <c r="I76" s="139">
        <f t="shared" si="3"/>
        <v>5.868581224599723</v>
      </c>
      <c r="J76" s="140">
        <f t="shared" si="4"/>
        <v>92723583.34867562</v>
      </c>
    </row>
    <row r="77" spans="1:10" ht="12.75">
      <c r="A77" s="134">
        <v>40995</v>
      </c>
      <c r="B77" s="135" t="s">
        <v>157</v>
      </c>
      <c r="C77" s="136">
        <v>0</v>
      </c>
      <c r="D77" s="135">
        <v>6.8566</v>
      </c>
      <c r="E77" s="137">
        <v>8100000</v>
      </c>
      <c r="F77" s="137">
        <v>8100000</v>
      </c>
      <c r="G77" s="137">
        <v>810000000</v>
      </c>
      <c r="H77" s="138">
        <v>24939900000</v>
      </c>
      <c r="I77" s="139">
        <f t="shared" si="3"/>
        <v>6.6870365915887575</v>
      </c>
      <c r="J77" s="140">
        <f t="shared" si="4"/>
        <v>54164996.391868934</v>
      </c>
    </row>
    <row r="78" spans="1:10" ht="12.75">
      <c r="A78" s="134">
        <v>40995</v>
      </c>
      <c r="B78" s="135" t="s">
        <v>157</v>
      </c>
      <c r="C78" s="136">
        <v>0</v>
      </c>
      <c r="D78" s="135">
        <v>7.6028</v>
      </c>
      <c r="E78" s="137">
        <v>2400000</v>
      </c>
      <c r="F78" s="137">
        <v>2400000</v>
      </c>
      <c r="G78" s="137">
        <v>240000000</v>
      </c>
      <c r="H78" s="138">
        <v>8613600000</v>
      </c>
      <c r="I78" s="139">
        <f t="shared" si="3"/>
        <v>7.395178140619851</v>
      </c>
      <c r="J78" s="140">
        <f t="shared" si="4"/>
        <v>17748427.537487645</v>
      </c>
    </row>
    <row r="79" spans="1:10" ht="12.75">
      <c r="A79" s="134">
        <v>40995</v>
      </c>
      <c r="B79" s="135" t="s">
        <v>157</v>
      </c>
      <c r="C79" s="136">
        <v>0</v>
      </c>
      <c r="D79" s="135">
        <v>80.7385</v>
      </c>
      <c r="E79" s="137">
        <v>1000000</v>
      </c>
      <c r="F79" s="137">
        <v>1000000</v>
      </c>
      <c r="G79" s="137">
        <v>100000000</v>
      </c>
      <c r="H79" s="138">
        <v>649000000</v>
      </c>
      <c r="I79" s="139">
        <f t="shared" si="3"/>
        <v>63.79136625588586</v>
      </c>
      <c r="J79" s="140">
        <f t="shared" si="4"/>
        <v>63791366.25588586</v>
      </c>
    </row>
    <row r="80" spans="1:10" ht="12.75">
      <c r="A80" s="134">
        <v>40995</v>
      </c>
      <c r="B80" s="135" t="s">
        <v>157</v>
      </c>
      <c r="C80" s="136">
        <v>0</v>
      </c>
      <c r="D80" s="135">
        <v>7.6028</v>
      </c>
      <c r="E80" s="137">
        <v>2699000</v>
      </c>
      <c r="F80" s="137">
        <v>2699000</v>
      </c>
      <c r="G80" s="137">
        <v>269900000</v>
      </c>
      <c r="H80" s="138">
        <v>13087451000</v>
      </c>
      <c r="I80" s="139">
        <f t="shared" si="3"/>
        <v>7.395178140619851</v>
      </c>
      <c r="J80" s="140">
        <f t="shared" si="4"/>
        <v>19959585.80153298</v>
      </c>
    </row>
    <row r="81" spans="1:12" ht="12.75">
      <c r="A81" s="134">
        <v>40995</v>
      </c>
      <c r="B81" s="135" t="s">
        <v>157</v>
      </c>
      <c r="C81" s="136">
        <v>0</v>
      </c>
      <c r="D81" s="135">
        <v>0</v>
      </c>
      <c r="E81" s="137">
        <v>1000</v>
      </c>
      <c r="F81" s="137">
        <v>1000</v>
      </c>
      <c r="G81" s="137">
        <v>100000</v>
      </c>
      <c r="H81" s="138">
        <v>4879000</v>
      </c>
      <c r="I81" s="139">
        <f t="shared" si="3"/>
        <v>0</v>
      </c>
      <c r="J81" s="140">
        <f t="shared" si="4"/>
        <v>0</v>
      </c>
      <c r="L81" s="14"/>
    </row>
    <row r="82" spans="1:12" ht="12.75">
      <c r="A82" s="134">
        <v>40998</v>
      </c>
      <c r="B82" s="135" t="s">
        <v>157</v>
      </c>
      <c r="C82" s="136">
        <v>0</v>
      </c>
      <c r="D82" s="135">
        <v>6.3637</v>
      </c>
      <c r="E82" s="137">
        <v>1000000</v>
      </c>
      <c r="F82" s="137">
        <v>1900000</v>
      </c>
      <c r="G82" s="137">
        <v>361000000</v>
      </c>
      <c r="H82" s="138">
        <v>1227400000</v>
      </c>
      <c r="I82" s="139">
        <f t="shared" si="3"/>
        <v>6.217239406741726</v>
      </c>
      <c r="J82" s="140">
        <f t="shared" si="4"/>
        <v>11812754.87280928</v>
      </c>
      <c r="L82" s="14"/>
    </row>
    <row r="83" spans="1:12" ht="12.75">
      <c r="A83" s="134">
        <v>40998</v>
      </c>
      <c r="B83" s="135" t="s">
        <v>157</v>
      </c>
      <c r="C83" s="136">
        <v>0</v>
      </c>
      <c r="D83" s="135">
        <v>0</v>
      </c>
      <c r="E83" s="137">
        <v>1000</v>
      </c>
      <c r="F83" s="137">
        <v>1000</v>
      </c>
      <c r="G83" s="137">
        <v>100000</v>
      </c>
      <c r="H83" s="138">
        <v>4876000</v>
      </c>
      <c r="I83" s="139">
        <f t="shared" si="3"/>
        <v>0</v>
      </c>
      <c r="J83" s="140">
        <f t="shared" si="4"/>
        <v>0</v>
      </c>
      <c r="L83" s="14"/>
    </row>
    <row r="84" spans="1:12" ht="12.75">
      <c r="A84" s="134">
        <v>40994</v>
      </c>
      <c r="B84" s="135" t="s">
        <v>158</v>
      </c>
      <c r="C84" s="136">
        <v>8.4999</v>
      </c>
      <c r="D84" s="135">
        <v>8.7747</v>
      </c>
      <c r="E84" s="137">
        <v>100000</v>
      </c>
      <c r="F84" s="137">
        <v>100000</v>
      </c>
      <c r="G84" s="137">
        <v>10000000</v>
      </c>
      <c r="H84" s="138">
        <v>179900000</v>
      </c>
      <c r="I84" s="139">
        <f t="shared" si="3"/>
        <v>8.499909707199915</v>
      </c>
      <c r="J84" s="140">
        <f t="shared" si="4"/>
        <v>849990.9707199915</v>
      </c>
      <c r="L84" s="14"/>
    </row>
    <row r="85" spans="1:12" ht="12.75">
      <c r="A85" s="134">
        <v>40994</v>
      </c>
      <c r="B85" s="135" t="s">
        <v>158</v>
      </c>
      <c r="C85" s="136">
        <v>8.5</v>
      </c>
      <c r="D85" s="135">
        <v>8.7748</v>
      </c>
      <c r="E85" s="137">
        <v>3000000</v>
      </c>
      <c r="F85" s="137">
        <v>3000000</v>
      </c>
      <c r="G85" s="137">
        <v>300000000</v>
      </c>
      <c r="H85" s="138">
        <v>5400000000</v>
      </c>
      <c r="I85" s="139">
        <f t="shared" si="3"/>
        <v>8.500003593868666</v>
      </c>
      <c r="J85" s="140">
        <f t="shared" si="4"/>
        <v>25500010.781605996</v>
      </c>
      <c r="L85" s="14"/>
    </row>
    <row r="86" spans="1:12" ht="12.75">
      <c r="A86" s="134">
        <v>40998</v>
      </c>
      <c r="B86" s="135" t="s">
        <v>158</v>
      </c>
      <c r="C86" s="136">
        <v>8.4996</v>
      </c>
      <c r="D86" s="135">
        <v>8.7744</v>
      </c>
      <c r="E86" s="137">
        <v>15000</v>
      </c>
      <c r="F86" s="137">
        <v>15000</v>
      </c>
      <c r="G86" s="137">
        <v>1500000</v>
      </c>
      <c r="H86" s="138">
        <v>26940000</v>
      </c>
      <c r="I86" s="139">
        <f t="shared" si="3"/>
        <v>8.49962804680544</v>
      </c>
      <c r="J86" s="140">
        <f t="shared" si="4"/>
        <v>127494.42070208161</v>
      </c>
      <c r="L86" s="14"/>
    </row>
    <row r="87" spans="1:12" ht="12.75">
      <c r="A87" s="134">
        <v>40998</v>
      </c>
      <c r="B87" s="135" t="s">
        <v>158</v>
      </c>
      <c r="C87" s="136">
        <v>8.4996</v>
      </c>
      <c r="D87" s="135">
        <v>8.7744</v>
      </c>
      <c r="E87" s="137">
        <v>5000</v>
      </c>
      <c r="F87" s="137">
        <v>5000</v>
      </c>
      <c r="G87" s="137">
        <v>500000</v>
      </c>
      <c r="H87" s="138">
        <v>8980000</v>
      </c>
      <c r="I87" s="139">
        <f t="shared" si="3"/>
        <v>8.49962804680544</v>
      </c>
      <c r="J87" s="140">
        <f t="shared" si="4"/>
        <v>42498.1402340272</v>
      </c>
      <c r="L87" s="14"/>
    </row>
    <row r="88" spans="1:12" ht="12.75">
      <c r="A88" s="134">
        <v>40983</v>
      </c>
      <c r="B88" s="135" t="s">
        <v>114</v>
      </c>
      <c r="C88" s="136">
        <v>6.5</v>
      </c>
      <c r="D88" s="135">
        <v>6.6602</v>
      </c>
      <c r="E88" s="137">
        <v>750000</v>
      </c>
      <c r="F88" s="137">
        <v>749983</v>
      </c>
      <c r="G88" s="137">
        <v>74996575.03909999</v>
      </c>
      <c r="H88" s="138">
        <v>959978240</v>
      </c>
      <c r="I88" s="139">
        <f t="shared" si="3"/>
        <v>6.500037274046466</v>
      </c>
      <c r="J88" s="140">
        <f t="shared" si="4"/>
        <v>4874917.4549011905</v>
      </c>
      <c r="L88" s="14"/>
    </row>
    <row r="89" spans="1:12" ht="12.75">
      <c r="A89" s="141">
        <v>40987</v>
      </c>
      <c r="B89" s="142" t="s">
        <v>114</v>
      </c>
      <c r="C89" s="143">
        <v>6.5</v>
      </c>
      <c r="D89" s="142">
        <v>6.6602</v>
      </c>
      <c r="E89" s="144">
        <v>129999.38</v>
      </c>
      <c r="F89" s="144">
        <v>129996.76</v>
      </c>
      <c r="G89" s="144">
        <v>12999416.00648</v>
      </c>
      <c r="H89" s="145">
        <v>166005862.51999998</v>
      </c>
      <c r="I89" s="139">
        <f t="shared" si="3"/>
        <v>6.500037274046466</v>
      </c>
      <c r="J89" s="140">
        <f t="shared" si="4"/>
        <v>844983.7855052727</v>
      </c>
      <c r="L89" s="14"/>
    </row>
    <row r="90" spans="1:12" ht="12.75">
      <c r="A90" s="146"/>
      <c r="B90" s="146"/>
      <c r="C90" s="146"/>
      <c r="D90" s="146"/>
      <c r="E90" s="147">
        <f>+SUM(E41:E89)</f>
        <v>46161636.300000004</v>
      </c>
      <c r="F90" s="147">
        <f>+SUM(F41:F89)</f>
        <v>47061452.89</v>
      </c>
      <c r="G90" s="147">
        <f>+SUM(G41:G89)</f>
        <v>4877128987.958572</v>
      </c>
      <c r="H90" s="147">
        <f>+SUM(H41:H89)</f>
        <v>98577978419.7</v>
      </c>
      <c r="I90" s="133"/>
      <c r="J90" s="147">
        <f>+SUM(J41:J89)</f>
        <v>373402799.20557475</v>
      </c>
      <c r="L90" s="14"/>
    </row>
    <row r="91" spans="1:12" ht="13.5" thickBot="1">
      <c r="A91" s="18"/>
      <c r="L91" s="14"/>
    </row>
    <row r="92" spans="1:5" ht="12.75">
      <c r="A92" s="116"/>
      <c r="B92" s="117" t="s">
        <v>12</v>
      </c>
      <c r="C92" s="117" t="s">
        <v>36</v>
      </c>
      <c r="D92" s="117" t="s">
        <v>13</v>
      </c>
      <c r="E92" s="118" t="s">
        <v>37</v>
      </c>
    </row>
    <row r="93" spans="1:5" ht="13.5" thickBot="1">
      <c r="A93" s="119">
        <f>+A37</f>
        <v>41015</v>
      </c>
      <c r="B93" s="120">
        <f>+F90</f>
        <v>47061452.89</v>
      </c>
      <c r="C93" s="121">
        <f>+J90/F90</f>
        <v>7.934366159037951</v>
      </c>
      <c r="D93" s="122">
        <f>+H90/F90</f>
        <v>2094.6650042894585</v>
      </c>
      <c r="E93" s="123">
        <f>+G90/F90</f>
        <v>103.63320060173714</v>
      </c>
    </row>
    <row r="95" spans="1:5" ht="12.75">
      <c r="A95" s="29"/>
      <c r="B95" s="29"/>
      <c r="C95" s="29"/>
      <c r="D95" s="29"/>
      <c r="E95" s="29"/>
    </row>
    <row r="96" spans="1:5" ht="12.75">
      <c r="A96" s="148">
        <f>+A2-360</f>
        <v>40670</v>
      </c>
      <c r="B96" s="29"/>
      <c r="C96" s="29"/>
      <c r="D96" s="29"/>
      <c r="E96" s="29"/>
    </row>
    <row r="97" spans="1:5" ht="12.75">
      <c r="A97" s="149"/>
      <c r="B97" s="149"/>
      <c r="C97" s="149"/>
      <c r="D97" s="149"/>
      <c r="E97" s="149"/>
    </row>
    <row r="98" spans="1:5" ht="12.75">
      <c r="A98" s="149"/>
      <c r="B98" s="149"/>
      <c r="C98" s="149"/>
      <c r="D98" s="149"/>
      <c r="E98" s="149"/>
    </row>
    <row r="99" spans="1:10" ht="12.75">
      <c r="A99" s="150" t="s">
        <v>184</v>
      </c>
      <c r="B99" s="151" t="s">
        <v>0</v>
      </c>
      <c r="C99" s="152" t="s">
        <v>186</v>
      </c>
      <c r="D99" s="151" t="s">
        <v>187</v>
      </c>
      <c r="E99" s="153" t="s">
        <v>188</v>
      </c>
      <c r="F99" s="153" t="s">
        <v>190</v>
      </c>
      <c r="G99" s="153" t="s">
        <v>193</v>
      </c>
      <c r="H99" s="153" t="s">
        <v>194</v>
      </c>
      <c r="I99" s="154" t="s">
        <v>93</v>
      </c>
      <c r="J99" s="154" t="s">
        <v>195</v>
      </c>
    </row>
    <row r="100" spans="1:10" ht="12.75">
      <c r="A100" s="155">
        <v>40654</v>
      </c>
      <c r="B100" s="156" t="s">
        <v>159</v>
      </c>
      <c r="C100" s="157">
        <v>7.5</v>
      </c>
      <c r="D100" s="156">
        <v>7.7136</v>
      </c>
      <c r="E100" s="158">
        <v>2000000</v>
      </c>
      <c r="F100" s="158">
        <v>2075614</v>
      </c>
      <c r="G100" s="158">
        <v>215408673.8498</v>
      </c>
      <c r="H100" s="158">
        <v>6341000770</v>
      </c>
      <c r="I100" s="160">
        <f>+((1+D100/100)^(90/360)-1)*(400)</f>
        <v>7.500012694114311</v>
      </c>
      <c r="J100" s="159">
        <f aca="true" t="shared" si="5" ref="J100:J131">+I100*F100</f>
        <v>15567131.348081382</v>
      </c>
    </row>
    <row r="101" spans="1:10" ht="12.75">
      <c r="A101" s="155">
        <v>40654</v>
      </c>
      <c r="B101" s="156" t="s">
        <v>159</v>
      </c>
      <c r="C101" s="157">
        <v>8</v>
      </c>
      <c r="D101" s="156">
        <v>8.2432</v>
      </c>
      <c r="E101" s="158">
        <v>1000000</v>
      </c>
      <c r="F101" s="158">
        <v>1059974</v>
      </c>
      <c r="G101" s="158">
        <v>112354488.0676</v>
      </c>
      <c r="H101" s="158">
        <v>5146173770</v>
      </c>
      <c r="I101" s="160">
        <f aca="true" t="shared" si="6" ref="I101:I153">+((1+D101/100)^(90/360)-1)*(400)</f>
        <v>7.9999849228418185</v>
      </c>
      <c r="J101" s="159">
        <f t="shared" si="5"/>
        <v>8479776.018604334</v>
      </c>
    </row>
    <row r="102" spans="1:10" ht="12.75">
      <c r="A102" s="155">
        <v>40653</v>
      </c>
      <c r="B102" s="156" t="s">
        <v>97</v>
      </c>
      <c r="C102" s="157">
        <v>8</v>
      </c>
      <c r="D102" s="156">
        <v>8.2432</v>
      </c>
      <c r="E102" s="158">
        <v>20000</v>
      </c>
      <c r="F102" s="158">
        <v>20157.92</v>
      </c>
      <c r="G102" s="158">
        <v>2031708.6936319997</v>
      </c>
      <c r="H102" s="158">
        <v>47613007.04</v>
      </c>
      <c r="I102" s="160">
        <f t="shared" si="6"/>
        <v>7.9999849228418185</v>
      </c>
      <c r="J102" s="159">
        <f t="shared" si="5"/>
        <v>161263.05607585155</v>
      </c>
    </row>
    <row r="103" spans="1:10" ht="12.75">
      <c r="A103" s="155">
        <v>40654</v>
      </c>
      <c r="B103" s="156" t="s">
        <v>97</v>
      </c>
      <c r="C103" s="157">
        <v>8</v>
      </c>
      <c r="D103" s="156">
        <v>8.2432</v>
      </c>
      <c r="E103" s="158">
        <v>80000</v>
      </c>
      <c r="F103" s="158">
        <v>80631.36</v>
      </c>
      <c r="G103" s="158">
        <v>8126770.269312</v>
      </c>
      <c r="H103" s="158">
        <v>190370640.96</v>
      </c>
      <c r="I103" s="160">
        <f t="shared" si="6"/>
        <v>7.9999849228418185</v>
      </c>
      <c r="J103" s="159">
        <f t="shared" si="5"/>
        <v>645049.6643082309</v>
      </c>
    </row>
    <row r="104" spans="1:10" ht="12.75">
      <c r="A104" s="155">
        <v>40654</v>
      </c>
      <c r="B104" s="156" t="s">
        <v>97</v>
      </c>
      <c r="C104" s="157">
        <v>8</v>
      </c>
      <c r="D104" s="156">
        <v>8.2432</v>
      </c>
      <c r="E104" s="158">
        <v>20000</v>
      </c>
      <c r="F104" s="158">
        <v>20157.54</v>
      </c>
      <c r="G104" s="158">
        <v>2031632.0942580001</v>
      </c>
      <c r="H104" s="158">
        <v>47511321.78</v>
      </c>
      <c r="I104" s="160">
        <f t="shared" si="6"/>
        <v>7.9999849228418185</v>
      </c>
      <c r="J104" s="159">
        <f t="shared" si="5"/>
        <v>161260.01608158086</v>
      </c>
    </row>
    <row r="105" spans="1:10" ht="12.75">
      <c r="A105" s="155">
        <v>40661</v>
      </c>
      <c r="B105" s="156" t="s">
        <v>97</v>
      </c>
      <c r="C105" s="157">
        <v>6.010254</v>
      </c>
      <c r="D105" s="156">
        <v>6.1471</v>
      </c>
      <c r="E105" s="158">
        <v>785953.26</v>
      </c>
      <c r="F105" s="158">
        <v>798174.05</v>
      </c>
      <c r="G105" s="158">
        <v>81058485.830345</v>
      </c>
      <c r="H105" s="158">
        <v>729531081.7</v>
      </c>
      <c r="I105" s="160">
        <f t="shared" si="6"/>
        <v>6.010275176250257</v>
      </c>
      <c r="J105" s="159">
        <f t="shared" si="5"/>
        <v>4797245.679042132</v>
      </c>
    </row>
    <row r="106" spans="1:10" ht="12.75">
      <c r="A106" s="155">
        <v>40637</v>
      </c>
      <c r="B106" s="156" t="s">
        <v>97</v>
      </c>
      <c r="C106" s="157">
        <v>8</v>
      </c>
      <c r="D106" s="156">
        <v>8.2432</v>
      </c>
      <c r="E106" s="158">
        <v>7000000</v>
      </c>
      <c r="F106" s="158">
        <v>7055762</v>
      </c>
      <c r="G106" s="158">
        <v>711196820.0092</v>
      </c>
      <c r="H106" s="158">
        <v>16778602036</v>
      </c>
      <c r="I106" s="160">
        <f t="shared" si="6"/>
        <v>7.9999849228418185</v>
      </c>
      <c r="J106" s="159">
        <f t="shared" si="5"/>
        <v>56445989.619160235</v>
      </c>
    </row>
    <row r="107" spans="1:10" ht="12.75">
      <c r="A107" s="155">
        <v>40651</v>
      </c>
      <c r="B107" s="156" t="s">
        <v>97</v>
      </c>
      <c r="C107" s="157">
        <v>8</v>
      </c>
      <c r="D107" s="156">
        <v>8.2432</v>
      </c>
      <c r="E107" s="158">
        <v>400000</v>
      </c>
      <c r="F107" s="158">
        <v>403161.6</v>
      </c>
      <c r="G107" s="158">
        <v>40634818.92864</v>
      </c>
      <c r="H107" s="158">
        <v>953074022.4</v>
      </c>
      <c r="I107" s="160">
        <f t="shared" si="6"/>
        <v>7.9999849228418185</v>
      </c>
      <c r="J107" s="159">
        <f t="shared" si="5"/>
        <v>3225286.721468784</v>
      </c>
    </row>
    <row r="108" spans="1:10" ht="12.75">
      <c r="A108" s="155">
        <v>40661</v>
      </c>
      <c r="B108" s="156" t="s">
        <v>132</v>
      </c>
      <c r="C108" s="157">
        <v>7.75</v>
      </c>
      <c r="D108" s="156">
        <v>7.9782</v>
      </c>
      <c r="E108" s="158">
        <v>500000</v>
      </c>
      <c r="F108" s="158">
        <v>501697.5</v>
      </c>
      <c r="G108" s="158">
        <v>50340076.30125</v>
      </c>
      <c r="H108" s="158">
        <v>511731450</v>
      </c>
      <c r="I108" s="160">
        <f t="shared" si="6"/>
        <v>7.750039891905658</v>
      </c>
      <c r="J108" s="159">
        <f t="shared" si="5"/>
        <v>3888175.638669339</v>
      </c>
    </row>
    <row r="109" spans="1:10" ht="12.75">
      <c r="A109" s="155">
        <v>40661</v>
      </c>
      <c r="B109" s="156" t="s">
        <v>132</v>
      </c>
      <c r="C109" s="157">
        <v>7.75</v>
      </c>
      <c r="D109" s="156">
        <v>7.9782</v>
      </c>
      <c r="E109" s="158">
        <v>30000</v>
      </c>
      <c r="F109" s="158">
        <v>30101.85</v>
      </c>
      <c r="G109" s="158">
        <v>3020404.578075</v>
      </c>
      <c r="H109" s="158">
        <v>30703887</v>
      </c>
      <c r="I109" s="160">
        <f t="shared" si="6"/>
        <v>7.750039891905658</v>
      </c>
      <c r="J109" s="159">
        <f t="shared" si="5"/>
        <v>233290.53832016033</v>
      </c>
    </row>
    <row r="110" spans="1:10" ht="12.75">
      <c r="A110" s="155">
        <v>40661</v>
      </c>
      <c r="B110" s="156" t="s">
        <v>132</v>
      </c>
      <c r="C110" s="157">
        <v>7.75</v>
      </c>
      <c r="D110" s="156">
        <v>7.9782</v>
      </c>
      <c r="E110" s="158">
        <v>10000</v>
      </c>
      <c r="F110" s="158">
        <v>10033.95</v>
      </c>
      <c r="G110" s="158">
        <v>1006801.526025</v>
      </c>
      <c r="H110" s="158">
        <v>10234629</v>
      </c>
      <c r="I110" s="160">
        <f t="shared" si="6"/>
        <v>7.750039891905658</v>
      </c>
      <c r="J110" s="159">
        <f t="shared" si="5"/>
        <v>77763.51277338678</v>
      </c>
    </row>
    <row r="111" spans="1:10" ht="12.75">
      <c r="A111" s="155">
        <v>40661</v>
      </c>
      <c r="B111" s="156" t="s">
        <v>132</v>
      </c>
      <c r="C111" s="157">
        <v>7.75</v>
      </c>
      <c r="D111" s="156">
        <v>7.9782</v>
      </c>
      <c r="E111" s="158">
        <v>30000</v>
      </c>
      <c r="F111" s="158">
        <v>30101.85</v>
      </c>
      <c r="G111" s="158">
        <v>3020404.578075</v>
      </c>
      <c r="H111" s="158">
        <v>30703887</v>
      </c>
      <c r="I111" s="160">
        <f t="shared" si="6"/>
        <v>7.750039891905658</v>
      </c>
      <c r="J111" s="159">
        <f t="shared" si="5"/>
        <v>233290.53832016033</v>
      </c>
    </row>
    <row r="112" spans="1:10" ht="12.75">
      <c r="A112" s="155">
        <v>40661</v>
      </c>
      <c r="B112" s="156" t="s">
        <v>132</v>
      </c>
      <c r="C112" s="157">
        <v>7.75</v>
      </c>
      <c r="D112" s="156">
        <v>7.9782</v>
      </c>
      <c r="E112" s="158">
        <v>40000</v>
      </c>
      <c r="F112" s="158">
        <v>40135.8</v>
      </c>
      <c r="G112" s="158">
        <v>4027206.1041</v>
      </c>
      <c r="H112" s="158">
        <v>40938516</v>
      </c>
      <c r="I112" s="160">
        <f t="shared" si="6"/>
        <v>7.750039891905658</v>
      </c>
      <c r="J112" s="159">
        <f t="shared" si="5"/>
        <v>311054.05109354714</v>
      </c>
    </row>
    <row r="113" spans="1:10" ht="12.75">
      <c r="A113" s="155">
        <v>40661</v>
      </c>
      <c r="B113" s="156" t="s">
        <v>132</v>
      </c>
      <c r="C113" s="157">
        <v>7.75</v>
      </c>
      <c r="D113" s="156">
        <v>7.9782</v>
      </c>
      <c r="E113" s="158">
        <v>580000</v>
      </c>
      <c r="F113" s="158">
        <v>582157.6</v>
      </c>
      <c r="G113" s="158">
        <v>58432322.6272</v>
      </c>
      <c r="H113" s="158">
        <v>628730208</v>
      </c>
      <c r="I113" s="160">
        <f t="shared" si="6"/>
        <v>7.750039891905658</v>
      </c>
      <c r="J113" s="159">
        <f t="shared" si="5"/>
        <v>4511744.6233760575</v>
      </c>
    </row>
    <row r="114" spans="1:10" ht="12.75">
      <c r="A114" s="155">
        <v>40661</v>
      </c>
      <c r="B114" s="156" t="s">
        <v>102</v>
      </c>
      <c r="C114" s="157">
        <v>8.5</v>
      </c>
      <c r="D114" s="156">
        <v>8.7748</v>
      </c>
      <c r="E114" s="158">
        <v>400000</v>
      </c>
      <c r="F114" s="158">
        <v>400000</v>
      </c>
      <c r="G114" s="158">
        <v>40000000</v>
      </c>
      <c r="H114" s="158">
        <v>576000000</v>
      </c>
      <c r="I114" s="160">
        <f t="shared" si="6"/>
        <v>8.500003593868666</v>
      </c>
      <c r="J114" s="159">
        <f t="shared" si="5"/>
        <v>3400001.4375474663</v>
      </c>
    </row>
    <row r="115" spans="1:10" ht="12.75">
      <c r="A115" s="155">
        <v>40661</v>
      </c>
      <c r="B115" s="156" t="s">
        <v>102</v>
      </c>
      <c r="C115" s="157">
        <v>8.5</v>
      </c>
      <c r="D115" s="156">
        <v>8.7748</v>
      </c>
      <c r="E115" s="158">
        <v>50000</v>
      </c>
      <c r="F115" s="158">
        <v>50000</v>
      </c>
      <c r="G115" s="158">
        <v>5000000</v>
      </c>
      <c r="H115" s="158">
        <v>72000000</v>
      </c>
      <c r="I115" s="160">
        <f t="shared" si="6"/>
        <v>8.500003593868666</v>
      </c>
      <c r="J115" s="159">
        <f t="shared" si="5"/>
        <v>425000.1796934333</v>
      </c>
    </row>
    <row r="116" spans="1:10" ht="12.75">
      <c r="A116" s="155">
        <v>40661</v>
      </c>
      <c r="B116" s="156" t="s">
        <v>102</v>
      </c>
      <c r="C116" s="157">
        <v>8.5</v>
      </c>
      <c r="D116" s="156">
        <v>8.7748</v>
      </c>
      <c r="E116" s="158">
        <v>100000</v>
      </c>
      <c r="F116" s="158">
        <v>100000</v>
      </c>
      <c r="G116" s="158">
        <v>10000000</v>
      </c>
      <c r="H116" s="158">
        <v>144000000</v>
      </c>
      <c r="I116" s="160">
        <f t="shared" si="6"/>
        <v>8.500003593868666</v>
      </c>
      <c r="J116" s="159">
        <f t="shared" si="5"/>
        <v>850000.3593868666</v>
      </c>
    </row>
    <row r="117" spans="1:10" ht="12.75">
      <c r="A117" s="155">
        <v>40661</v>
      </c>
      <c r="B117" s="156" t="s">
        <v>102</v>
      </c>
      <c r="C117" s="157">
        <v>8.5</v>
      </c>
      <c r="D117" s="156">
        <v>8.7748</v>
      </c>
      <c r="E117" s="158">
        <v>5000</v>
      </c>
      <c r="F117" s="158">
        <v>5000</v>
      </c>
      <c r="G117" s="158">
        <v>500000</v>
      </c>
      <c r="H117" s="158">
        <v>7195000</v>
      </c>
      <c r="I117" s="160">
        <f t="shared" si="6"/>
        <v>8.500003593868666</v>
      </c>
      <c r="J117" s="159">
        <f t="shared" si="5"/>
        <v>42500.01796934333</v>
      </c>
    </row>
    <row r="118" spans="1:10" ht="12.75">
      <c r="A118" s="155">
        <v>40661</v>
      </c>
      <c r="B118" s="156" t="s">
        <v>102</v>
      </c>
      <c r="C118" s="157">
        <v>8.5</v>
      </c>
      <c r="D118" s="156">
        <v>8.7748</v>
      </c>
      <c r="E118" s="158">
        <v>100000</v>
      </c>
      <c r="F118" s="158">
        <v>100000</v>
      </c>
      <c r="G118" s="158">
        <v>10000000</v>
      </c>
      <c r="H118" s="158">
        <v>143900000</v>
      </c>
      <c r="I118" s="160">
        <f t="shared" si="6"/>
        <v>8.500003593868666</v>
      </c>
      <c r="J118" s="159">
        <f t="shared" si="5"/>
        <v>850000.3593868666</v>
      </c>
    </row>
    <row r="119" spans="1:10" ht="12.75">
      <c r="A119" s="155">
        <v>40661</v>
      </c>
      <c r="B119" s="156" t="s">
        <v>102</v>
      </c>
      <c r="C119" s="157">
        <v>8.5</v>
      </c>
      <c r="D119" s="156">
        <v>8.7748</v>
      </c>
      <c r="E119" s="158">
        <v>20000</v>
      </c>
      <c r="F119" s="158">
        <v>20000</v>
      </c>
      <c r="G119" s="158">
        <v>2000000</v>
      </c>
      <c r="H119" s="158">
        <v>28780000</v>
      </c>
      <c r="I119" s="160">
        <f t="shared" si="6"/>
        <v>8.500003593868666</v>
      </c>
      <c r="J119" s="159">
        <f t="shared" si="5"/>
        <v>170000.07187737332</v>
      </c>
    </row>
    <row r="120" spans="1:10" ht="12.75">
      <c r="A120" s="155">
        <v>40661</v>
      </c>
      <c r="B120" s="156" t="s">
        <v>102</v>
      </c>
      <c r="C120" s="157">
        <v>8.5</v>
      </c>
      <c r="D120" s="156">
        <v>8.7748</v>
      </c>
      <c r="E120" s="158">
        <v>600000</v>
      </c>
      <c r="F120" s="158">
        <v>600000</v>
      </c>
      <c r="G120" s="158">
        <v>60000000</v>
      </c>
      <c r="H120" s="158">
        <v>864000000</v>
      </c>
      <c r="I120" s="160">
        <f t="shared" si="6"/>
        <v>8.500003593868666</v>
      </c>
      <c r="J120" s="159">
        <f t="shared" si="5"/>
        <v>5100002.1563212</v>
      </c>
    </row>
    <row r="121" spans="1:10" ht="12.75">
      <c r="A121" s="155">
        <v>40661</v>
      </c>
      <c r="B121" s="156" t="s">
        <v>102</v>
      </c>
      <c r="C121" s="157">
        <v>8.5</v>
      </c>
      <c r="D121" s="156">
        <v>8.7748</v>
      </c>
      <c r="E121" s="158">
        <v>500000</v>
      </c>
      <c r="F121" s="158">
        <v>500000</v>
      </c>
      <c r="G121" s="158">
        <v>50000000</v>
      </c>
      <c r="H121" s="158">
        <v>720000000</v>
      </c>
      <c r="I121" s="160">
        <f t="shared" si="6"/>
        <v>8.500003593868666</v>
      </c>
      <c r="J121" s="159">
        <f t="shared" si="5"/>
        <v>4250001.796934333</v>
      </c>
    </row>
    <row r="122" spans="1:10" ht="12.75">
      <c r="A122" s="155">
        <v>40661</v>
      </c>
      <c r="B122" s="156" t="s">
        <v>102</v>
      </c>
      <c r="C122" s="157">
        <v>8.5</v>
      </c>
      <c r="D122" s="156">
        <v>8.7748</v>
      </c>
      <c r="E122" s="158">
        <v>5000</v>
      </c>
      <c r="F122" s="158">
        <v>5000</v>
      </c>
      <c r="G122" s="158">
        <v>500000</v>
      </c>
      <c r="H122" s="158">
        <v>7200000</v>
      </c>
      <c r="I122" s="160">
        <f t="shared" si="6"/>
        <v>8.500003593868666</v>
      </c>
      <c r="J122" s="159">
        <f t="shared" si="5"/>
        <v>42500.01796934333</v>
      </c>
    </row>
    <row r="123" spans="1:10" ht="12.75">
      <c r="A123" s="155">
        <v>40661</v>
      </c>
      <c r="B123" s="156" t="s">
        <v>102</v>
      </c>
      <c r="C123" s="157">
        <v>8.5</v>
      </c>
      <c r="D123" s="156">
        <v>8.7748</v>
      </c>
      <c r="E123" s="158">
        <v>35000</v>
      </c>
      <c r="F123" s="158">
        <v>35000</v>
      </c>
      <c r="G123" s="158">
        <v>3500000</v>
      </c>
      <c r="H123" s="158">
        <v>50400000</v>
      </c>
      <c r="I123" s="160">
        <f t="shared" si="6"/>
        <v>8.500003593868666</v>
      </c>
      <c r="J123" s="159">
        <f t="shared" si="5"/>
        <v>297500.1257854033</v>
      </c>
    </row>
    <row r="124" spans="1:10" ht="12.75">
      <c r="A124" s="155">
        <v>40661</v>
      </c>
      <c r="B124" s="156" t="s">
        <v>102</v>
      </c>
      <c r="C124" s="157">
        <v>8.499023</v>
      </c>
      <c r="D124" s="156">
        <v>8.7738</v>
      </c>
      <c r="E124" s="158">
        <v>25000</v>
      </c>
      <c r="F124" s="158">
        <v>25000</v>
      </c>
      <c r="G124" s="158">
        <v>2500000</v>
      </c>
      <c r="H124" s="158">
        <v>35850000</v>
      </c>
      <c r="I124" s="160">
        <f t="shared" si="6"/>
        <v>8.499064724268557</v>
      </c>
      <c r="J124" s="159">
        <f t="shared" si="5"/>
        <v>212476.61810671393</v>
      </c>
    </row>
    <row r="125" spans="1:10" ht="12.75">
      <c r="A125" s="155">
        <v>40661</v>
      </c>
      <c r="B125" s="156" t="s">
        <v>102</v>
      </c>
      <c r="C125" s="157">
        <v>8.5</v>
      </c>
      <c r="D125" s="156">
        <v>8.7748</v>
      </c>
      <c r="E125" s="158">
        <v>2000000</v>
      </c>
      <c r="F125" s="158">
        <v>2000000</v>
      </c>
      <c r="G125" s="158">
        <v>200000000</v>
      </c>
      <c r="H125" s="158">
        <v>2880000000</v>
      </c>
      <c r="I125" s="160">
        <f t="shared" si="6"/>
        <v>8.500003593868666</v>
      </c>
      <c r="J125" s="159">
        <f t="shared" si="5"/>
        <v>17000007.18773733</v>
      </c>
    </row>
    <row r="126" spans="1:10" ht="12.75">
      <c r="A126" s="155">
        <v>40661</v>
      </c>
      <c r="B126" s="156" t="s">
        <v>102</v>
      </c>
      <c r="C126" s="157">
        <v>8.5</v>
      </c>
      <c r="D126" s="156">
        <v>8.7748</v>
      </c>
      <c r="E126" s="158">
        <v>530000</v>
      </c>
      <c r="F126" s="158">
        <v>530000</v>
      </c>
      <c r="G126" s="158">
        <v>53000000</v>
      </c>
      <c r="H126" s="158">
        <v>763200000</v>
      </c>
      <c r="I126" s="160">
        <f t="shared" si="6"/>
        <v>8.500003593868666</v>
      </c>
      <c r="J126" s="159">
        <f t="shared" si="5"/>
        <v>4505001.904750393</v>
      </c>
    </row>
    <row r="127" spans="1:10" ht="12.75">
      <c r="A127" s="155">
        <v>40661</v>
      </c>
      <c r="B127" s="156" t="s">
        <v>102</v>
      </c>
      <c r="C127" s="157">
        <v>8.5</v>
      </c>
      <c r="D127" s="156">
        <v>8.7748</v>
      </c>
      <c r="E127" s="158">
        <v>90000</v>
      </c>
      <c r="F127" s="158">
        <v>90000</v>
      </c>
      <c r="G127" s="158">
        <v>9000000</v>
      </c>
      <c r="H127" s="158">
        <v>129510000</v>
      </c>
      <c r="I127" s="160">
        <f t="shared" si="6"/>
        <v>8.500003593868666</v>
      </c>
      <c r="J127" s="159">
        <f t="shared" si="5"/>
        <v>765000.3234481799</v>
      </c>
    </row>
    <row r="128" spans="1:10" ht="12.75">
      <c r="A128" s="155">
        <v>40661</v>
      </c>
      <c r="B128" s="156" t="s">
        <v>102</v>
      </c>
      <c r="C128" s="157">
        <v>8.5</v>
      </c>
      <c r="D128" s="156">
        <v>8.7748</v>
      </c>
      <c r="E128" s="158">
        <v>400000</v>
      </c>
      <c r="F128" s="158">
        <v>400000</v>
      </c>
      <c r="G128" s="158">
        <v>40000000</v>
      </c>
      <c r="H128" s="158">
        <v>576000000</v>
      </c>
      <c r="I128" s="160">
        <f t="shared" si="6"/>
        <v>8.500003593868666</v>
      </c>
      <c r="J128" s="159">
        <f t="shared" si="5"/>
        <v>3400001.4375474663</v>
      </c>
    </row>
    <row r="129" spans="1:10" ht="12.75">
      <c r="A129" s="155">
        <v>40661</v>
      </c>
      <c r="B129" s="156" t="s">
        <v>102</v>
      </c>
      <c r="C129" s="157">
        <v>8.5</v>
      </c>
      <c r="D129" s="156">
        <v>8.7748</v>
      </c>
      <c r="E129" s="158">
        <v>5000000</v>
      </c>
      <c r="F129" s="158">
        <v>5000000</v>
      </c>
      <c r="G129" s="158">
        <v>500000000</v>
      </c>
      <c r="H129" s="158">
        <v>7200000000</v>
      </c>
      <c r="I129" s="160">
        <f t="shared" si="6"/>
        <v>8.500003593868666</v>
      </c>
      <c r="J129" s="159">
        <f t="shared" si="5"/>
        <v>42500017.96934333</v>
      </c>
    </row>
    <row r="130" spans="1:10" ht="12.75">
      <c r="A130" s="155">
        <v>40661</v>
      </c>
      <c r="B130" s="156" t="s">
        <v>102</v>
      </c>
      <c r="C130" s="157">
        <v>8.5</v>
      </c>
      <c r="D130" s="156">
        <v>8.7748</v>
      </c>
      <c r="E130" s="158">
        <v>230000</v>
      </c>
      <c r="F130" s="158">
        <v>230000</v>
      </c>
      <c r="G130" s="158">
        <v>23000000</v>
      </c>
      <c r="H130" s="158">
        <v>330280000</v>
      </c>
      <c r="I130" s="160">
        <f t="shared" si="6"/>
        <v>8.500003593868666</v>
      </c>
      <c r="J130" s="159">
        <f t="shared" si="5"/>
        <v>1955000.8265897932</v>
      </c>
    </row>
    <row r="131" spans="1:10" ht="12.75">
      <c r="A131" s="155">
        <v>40661</v>
      </c>
      <c r="B131" s="156" t="s">
        <v>102</v>
      </c>
      <c r="C131" s="157">
        <v>8.5</v>
      </c>
      <c r="D131" s="156">
        <v>8.7748</v>
      </c>
      <c r="E131" s="158">
        <v>250000</v>
      </c>
      <c r="F131" s="158">
        <v>250000</v>
      </c>
      <c r="G131" s="158">
        <v>25000000</v>
      </c>
      <c r="H131" s="158">
        <v>359000000</v>
      </c>
      <c r="I131" s="160">
        <f t="shared" si="6"/>
        <v>8.500003593868666</v>
      </c>
      <c r="J131" s="159">
        <f t="shared" si="5"/>
        <v>2125000.8984671663</v>
      </c>
    </row>
    <row r="132" spans="1:10" ht="12.75">
      <c r="A132" s="155">
        <v>40661</v>
      </c>
      <c r="B132" s="156" t="s">
        <v>102</v>
      </c>
      <c r="C132" s="157">
        <v>8.5</v>
      </c>
      <c r="D132" s="156">
        <v>8.7748</v>
      </c>
      <c r="E132" s="158">
        <v>250000</v>
      </c>
      <c r="F132" s="158">
        <v>250000</v>
      </c>
      <c r="G132" s="158">
        <v>25000000</v>
      </c>
      <c r="H132" s="158">
        <v>359000000</v>
      </c>
      <c r="I132" s="160">
        <f t="shared" si="6"/>
        <v>8.500003593868666</v>
      </c>
      <c r="J132" s="159">
        <f aca="true" t="shared" si="7" ref="J132:J153">+I132*F132</f>
        <v>2125000.8984671663</v>
      </c>
    </row>
    <row r="133" spans="1:10" ht="12.75">
      <c r="A133" s="155">
        <v>40661</v>
      </c>
      <c r="B133" s="156" t="s">
        <v>102</v>
      </c>
      <c r="C133" s="157">
        <v>8.5</v>
      </c>
      <c r="D133" s="156">
        <v>8.7748</v>
      </c>
      <c r="E133" s="158">
        <v>40000</v>
      </c>
      <c r="F133" s="158">
        <v>40000</v>
      </c>
      <c r="G133" s="158">
        <v>4000000</v>
      </c>
      <c r="H133" s="158">
        <v>57600000</v>
      </c>
      <c r="I133" s="160">
        <f t="shared" si="6"/>
        <v>8.500003593868666</v>
      </c>
      <c r="J133" s="159">
        <f t="shared" si="7"/>
        <v>340000.14375474665</v>
      </c>
    </row>
    <row r="134" spans="1:10" ht="12.75">
      <c r="A134" s="155">
        <v>40661</v>
      </c>
      <c r="B134" s="156" t="s">
        <v>102</v>
      </c>
      <c r="C134" s="157">
        <v>8.5</v>
      </c>
      <c r="D134" s="156">
        <v>8.7748</v>
      </c>
      <c r="E134" s="158">
        <v>50000</v>
      </c>
      <c r="F134" s="158">
        <v>50000</v>
      </c>
      <c r="G134" s="158">
        <v>5000000</v>
      </c>
      <c r="H134" s="158">
        <v>72000000</v>
      </c>
      <c r="I134" s="160">
        <f t="shared" si="6"/>
        <v>8.500003593868666</v>
      </c>
      <c r="J134" s="159">
        <f t="shared" si="7"/>
        <v>425000.1796934333</v>
      </c>
    </row>
    <row r="135" spans="1:10" ht="12.75">
      <c r="A135" s="155">
        <v>40661</v>
      </c>
      <c r="B135" s="156" t="s">
        <v>102</v>
      </c>
      <c r="C135" s="157">
        <v>8.5</v>
      </c>
      <c r="D135" s="156">
        <v>8.7748</v>
      </c>
      <c r="E135" s="158">
        <v>40000</v>
      </c>
      <c r="F135" s="158">
        <v>40000</v>
      </c>
      <c r="G135" s="158">
        <v>4000000</v>
      </c>
      <c r="H135" s="158">
        <v>57560000</v>
      </c>
      <c r="I135" s="160">
        <f t="shared" si="6"/>
        <v>8.500003593868666</v>
      </c>
      <c r="J135" s="159">
        <f t="shared" si="7"/>
        <v>340000.14375474665</v>
      </c>
    </row>
    <row r="136" spans="1:10" ht="12.75">
      <c r="A136" s="155">
        <v>40661</v>
      </c>
      <c r="B136" s="156" t="s">
        <v>102</v>
      </c>
      <c r="C136" s="157">
        <v>8.5</v>
      </c>
      <c r="D136" s="156">
        <v>8.7748</v>
      </c>
      <c r="E136" s="158">
        <v>120000</v>
      </c>
      <c r="F136" s="158">
        <v>120000</v>
      </c>
      <c r="G136" s="158">
        <v>12000000</v>
      </c>
      <c r="H136" s="158">
        <v>172680000</v>
      </c>
      <c r="I136" s="160">
        <f t="shared" si="6"/>
        <v>8.500003593868666</v>
      </c>
      <c r="J136" s="159">
        <f t="shared" si="7"/>
        <v>1020000.43126424</v>
      </c>
    </row>
    <row r="137" spans="1:10" ht="12.75">
      <c r="A137" s="155">
        <v>40662</v>
      </c>
      <c r="B137" s="156" t="s">
        <v>102</v>
      </c>
      <c r="C137" s="157">
        <v>8.5</v>
      </c>
      <c r="D137" s="156">
        <v>8.7748</v>
      </c>
      <c r="E137" s="158">
        <v>10000</v>
      </c>
      <c r="F137" s="158">
        <v>10000</v>
      </c>
      <c r="G137" s="158">
        <v>1000000</v>
      </c>
      <c r="H137" s="158">
        <v>14390000</v>
      </c>
      <c r="I137" s="160">
        <f t="shared" si="6"/>
        <v>8.500003593868666</v>
      </c>
      <c r="J137" s="159">
        <f t="shared" si="7"/>
        <v>85000.03593868666</v>
      </c>
    </row>
    <row r="138" spans="1:10" ht="12.75">
      <c r="A138" s="155">
        <v>40652</v>
      </c>
      <c r="B138" s="156" t="s">
        <v>191</v>
      </c>
      <c r="C138" s="157">
        <v>7.391602</v>
      </c>
      <c r="D138" s="156">
        <v>7.599</v>
      </c>
      <c r="E138" s="158">
        <v>25000</v>
      </c>
      <c r="F138" s="158">
        <v>25298.7</v>
      </c>
      <c r="G138" s="158">
        <v>2560096.88676</v>
      </c>
      <c r="H138" s="158">
        <v>16469453.700000001</v>
      </c>
      <c r="I138" s="160">
        <f t="shared" si="6"/>
        <v>7.39158129606956</v>
      </c>
      <c r="J138" s="159">
        <f t="shared" si="7"/>
        <v>186997.397734875</v>
      </c>
    </row>
    <row r="139" spans="1:10" ht="12.75">
      <c r="A139" s="155">
        <v>40652</v>
      </c>
      <c r="B139" s="156" t="s">
        <v>191</v>
      </c>
      <c r="C139" s="157">
        <v>7.391602</v>
      </c>
      <c r="D139" s="156">
        <v>7.599</v>
      </c>
      <c r="E139" s="158">
        <v>25000</v>
      </c>
      <c r="F139" s="158">
        <v>25298.7</v>
      </c>
      <c r="G139" s="158">
        <v>2560096.88676</v>
      </c>
      <c r="H139" s="158">
        <v>16469453.700000001</v>
      </c>
      <c r="I139" s="160">
        <f t="shared" si="6"/>
        <v>7.39158129606956</v>
      </c>
      <c r="J139" s="159">
        <f t="shared" si="7"/>
        <v>186997.397734875</v>
      </c>
    </row>
    <row r="140" spans="1:10" ht="12.75">
      <c r="A140" s="155">
        <v>40652</v>
      </c>
      <c r="B140" s="156" t="s">
        <v>191</v>
      </c>
      <c r="C140" s="157">
        <v>7.391602</v>
      </c>
      <c r="D140" s="156">
        <v>7.599</v>
      </c>
      <c r="E140" s="158">
        <v>25000</v>
      </c>
      <c r="F140" s="158">
        <v>25298.7</v>
      </c>
      <c r="G140" s="158">
        <v>2560096.88676</v>
      </c>
      <c r="H140" s="158">
        <v>16469453.700000001</v>
      </c>
      <c r="I140" s="160">
        <f t="shared" si="6"/>
        <v>7.39158129606956</v>
      </c>
      <c r="J140" s="159">
        <f t="shared" si="7"/>
        <v>186997.397734875</v>
      </c>
    </row>
    <row r="141" spans="1:10" ht="12.75">
      <c r="A141" s="155">
        <v>40634</v>
      </c>
      <c r="B141" s="156" t="s">
        <v>103</v>
      </c>
      <c r="C141" s="157">
        <v>7.5</v>
      </c>
      <c r="D141" s="156">
        <v>7.7136</v>
      </c>
      <c r="E141" s="158">
        <v>250000</v>
      </c>
      <c r="F141" s="158">
        <v>251961</v>
      </c>
      <c r="G141" s="158">
        <v>25393738.2084</v>
      </c>
      <c r="H141" s="158">
        <v>184183491</v>
      </c>
      <c r="I141" s="160">
        <f t="shared" si="6"/>
        <v>7.500012694114311</v>
      </c>
      <c r="J141" s="159">
        <f t="shared" si="7"/>
        <v>1889710.6984217358</v>
      </c>
    </row>
    <row r="142" spans="1:10" ht="12.75">
      <c r="A142" s="155">
        <v>40659</v>
      </c>
      <c r="B142" s="156" t="s">
        <v>197</v>
      </c>
      <c r="C142" s="157">
        <v>6.5</v>
      </c>
      <c r="D142" s="156">
        <v>6.6602</v>
      </c>
      <c r="E142" s="158">
        <v>4583333.25</v>
      </c>
      <c r="F142" s="158">
        <v>4583269.08</v>
      </c>
      <c r="G142" s="158">
        <v>458320491.423288</v>
      </c>
      <c r="H142" s="158">
        <v>4487020429.32</v>
      </c>
      <c r="I142" s="160">
        <f t="shared" si="6"/>
        <v>6.500037274046466</v>
      </c>
      <c r="J142" s="159">
        <f t="shared" si="7"/>
        <v>29791419.856984656</v>
      </c>
    </row>
    <row r="143" spans="1:10" ht="12.75">
      <c r="A143" s="155">
        <v>40659</v>
      </c>
      <c r="B143" s="156" t="s">
        <v>196</v>
      </c>
      <c r="C143" s="157">
        <v>8</v>
      </c>
      <c r="D143" s="156">
        <v>8.2432</v>
      </c>
      <c r="E143" s="158">
        <v>25034.01</v>
      </c>
      <c r="F143" s="158">
        <v>25193.88</v>
      </c>
      <c r="G143" s="158">
        <v>2535476.811768</v>
      </c>
      <c r="H143" s="158">
        <v>11614378.68</v>
      </c>
      <c r="I143" s="160">
        <f t="shared" si="6"/>
        <v>7.9999849228418185</v>
      </c>
      <c r="J143" s="159">
        <f t="shared" si="7"/>
        <v>201550.66014788605</v>
      </c>
    </row>
    <row r="144" spans="1:10" ht="12.75">
      <c r="A144" s="155">
        <v>40647</v>
      </c>
      <c r="B144" s="156" t="s">
        <v>196</v>
      </c>
      <c r="C144" s="157">
        <v>8</v>
      </c>
      <c r="D144" s="156">
        <v>8.2432</v>
      </c>
      <c r="E144" s="158">
        <v>8344.67</v>
      </c>
      <c r="F144" s="158">
        <v>8400.41</v>
      </c>
      <c r="G144" s="158">
        <v>845652.4738800001</v>
      </c>
      <c r="H144" s="158">
        <v>3973393.93</v>
      </c>
      <c r="I144" s="160">
        <f t="shared" si="6"/>
        <v>7.9999849228418185</v>
      </c>
      <c r="J144" s="159">
        <f t="shared" si="7"/>
        <v>67203.15334568964</v>
      </c>
    </row>
    <row r="145" spans="1:10" ht="12.75">
      <c r="A145" s="155">
        <v>40659</v>
      </c>
      <c r="B145" s="156" t="s">
        <v>192</v>
      </c>
      <c r="C145" s="157">
        <v>5.15</v>
      </c>
      <c r="D145" s="156">
        <v>5.2503</v>
      </c>
      <c r="E145" s="158">
        <v>100000</v>
      </c>
      <c r="F145" s="158">
        <v>100875.1</v>
      </c>
      <c r="G145" s="158">
        <v>10175785.800010001</v>
      </c>
      <c r="H145" s="158">
        <v>26530151.3</v>
      </c>
      <c r="I145" s="160">
        <f t="shared" si="6"/>
        <v>5.149984779692041</v>
      </c>
      <c r="J145" s="159">
        <f t="shared" si="7"/>
        <v>519505.2296499126</v>
      </c>
    </row>
    <row r="146" spans="1:10" ht="12.75">
      <c r="A146" s="155">
        <v>40634</v>
      </c>
      <c r="B146" s="156" t="s">
        <v>100</v>
      </c>
      <c r="C146" s="157">
        <v>8</v>
      </c>
      <c r="D146" s="156">
        <v>8.2432</v>
      </c>
      <c r="E146" s="158">
        <v>2600000</v>
      </c>
      <c r="F146" s="158">
        <v>2564231.8</v>
      </c>
      <c r="G146" s="158">
        <v>252895566.31274</v>
      </c>
      <c r="H146" s="158">
        <v>4579717994.799999</v>
      </c>
      <c r="I146" s="160">
        <f t="shared" si="6"/>
        <v>7.9999849228418185</v>
      </c>
      <c r="J146" s="159">
        <f t="shared" si="7"/>
        <v>20513815.738671537</v>
      </c>
    </row>
    <row r="147" spans="1:10" ht="12.75">
      <c r="A147" s="155">
        <v>40652</v>
      </c>
      <c r="B147" s="156" t="s">
        <v>104</v>
      </c>
      <c r="C147" s="157">
        <v>6.347168</v>
      </c>
      <c r="D147" s="156">
        <v>6.4998</v>
      </c>
      <c r="E147" s="158">
        <v>17500</v>
      </c>
      <c r="F147" s="158">
        <v>17736.2</v>
      </c>
      <c r="G147" s="158">
        <v>1797558.54914</v>
      </c>
      <c r="H147" s="158">
        <v>10251523.6</v>
      </c>
      <c r="I147" s="160">
        <f t="shared" si="6"/>
        <v>6.34712313959227</v>
      </c>
      <c r="J147" s="159">
        <f t="shared" si="7"/>
        <v>112573.84542843643</v>
      </c>
    </row>
    <row r="148" spans="1:10" ht="12.75">
      <c r="A148" s="155">
        <v>40652</v>
      </c>
      <c r="B148" s="156" t="s">
        <v>104</v>
      </c>
      <c r="C148" s="157">
        <v>6.347168</v>
      </c>
      <c r="D148" s="156">
        <v>6.4998</v>
      </c>
      <c r="E148" s="158">
        <v>17500</v>
      </c>
      <c r="F148" s="158">
        <v>17736.2</v>
      </c>
      <c r="G148" s="158">
        <v>1797558.54914</v>
      </c>
      <c r="H148" s="158">
        <v>10251523.6</v>
      </c>
      <c r="I148" s="160">
        <f t="shared" si="6"/>
        <v>6.34712313959227</v>
      </c>
      <c r="J148" s="159">
        <f t="shared" si="7"/>
        <v>112573.84542843643</v>
      </c>
    </row>
    <row r="149" spans="1:10" ht="12.75">
      <c r="A149" s="155">
        <v>40652</v>
      </c>
      <c r="B149" s="156" t="s">
        <v>104</v>
      </c>
      <c r="C149" s="157">
        <v>6.347168</v>
      </c>
      <c r="D149" s="156">
        <v>6.4998</v>
      </c>
      <c r="E149" s="158">
        <v>17500</v>
      </c>
      <c r="F149" s="158">
        <v>17736.2</v>
      </c>
      <c r="G149" s="158">
        <v>1797558.54914</v>
      </c>
      <c r="H149" s="158">
        <v>10251523.6</v>
      </c>
      <c r="I149" s="160">
        <f t="shared" si="6"/>
        <v>6.34712313959227</v>
      </c>
      <c r="J149" s="159">
        <f t="shared" si="7"/>
        <v>112573.84542843643</v>
      </c>
    </row>
    <row r="150" spans="1:10" ht="12.75">
      <c r="A150" s="155">
        <v>40645</v>
      </c>
      <c r="B150" s="156" t="s">
        <v>198</v>
      </c>
      <c r="C150" s="157">
        <v>9.998962</v>
      </c>
      <c r="D150" s="156">
        <v>10.3802</v>
      </c>
      <c r="E150" s="158">
        <v>8000</v>
      </c>
      <c r="F150" s="158">
        <v>8000</v>
      </c>
      <c r="G150" s="158">
        <v>800000</v>
      </c>
      <c r="H150" s="158">
        <v>22944000</v>
      </c>
      <c r="I150" s="160">
        <f t="shared" si="6"/>
        <v>9.99898869346234</v>
      </c>
      <c r="J150" s="159">
        <f t="shared" si="7"/>
        <v>79991.90954769873</v>
      </c>
    </row>
    <row r="151" spans="1:10" ht="12.75">
      <c r="A151" s="155">
        <v>40645</v>
      </c>
      <c r="B151" s="156" t="s">
        <v>198</v>
      </c>
      <c r="C151" s="157">
        <v>9.998962</v>
      </c>
      <c r="D151" s="156">
        <v>10.3802</v>
      </c>
      <c r="E151" s="158">
        <v>8000</v>
      </c>
      <c r="F151" s="158">
        <v>8000</v>
      </c>
      <c r="G151" s="158">
        <v>800000</v>
      </c>
      <c r="H151" s="158">
        <v>22944000</v>
      </c>
      <c r="I151" s="160">
        <f t="shared" si="6"/>
        <v>9.99898869346234</v>
      </c>
      <c r="J151" s="159">
        <f t="shared" si="7"/>
        <v>79991.90954769873</v>
      </c>
    </row>
    <row r="152" spans="1:10" ht="12.75">
      <c r="A152" s="155">
        <v>40645</v>
      </c>
      <c r="B152" s="156" t="s">
        <v>198</v>
      </c>
      <c r="C152" s="157">
        <v>9.998962</v>
      </c>
      <c r="D152" s="156">
        <v>10.3802</v>
      </c>
      <c r="E152" s="158">
        <v>48000</v>
      </c>
      <c r="F152" s="158">
        <v>48000</v>
      </c>
      <c r="G152" s="158">
        <v>4800000</v>
      </c>
      <c r="H152" s="158">
        <v>137664000</v>
      </c>
      <c r="I152" s="160">
        <f t="shared" si="6"/>
        <v>9.99898869346234</v>
      </c>
      <c r="J152" s="159">
        <f t="shared" si="7"/>
        <v>479951.45728619234</v>
      </c>
    </row>
    <row r="153" spans="1:10" ht="12.75">
      <c r="A153" s="155">
        <v>40645</v>
      </c>
      <c r="B153" s="156" t="s">
        <v>198</v>
      </c>
      <c r="C153" s="157">
        <v>9.998962</v>
      </c>
      <c r="D153" s="156">
        <v>10.3802</v>
      </c>
      <c r="E153" s="158">
        <v>48000</v>
      </c>
      <c r="F153" s="158">
        <v>48000</v>
      </c>
      <c r="G153" s="158">
        <v>4800000</v>
      </c>
      <c r="H153" s="158">
        <v>137664000</v>
      </c>
      <c r="I153" s="160">
        <f t="shared" si="6"/>
        <v>9.99898869346234</v>
      </c>
      <c r="J153" s="159">
        <f t="shared" si="7"/>
        <v>479951.45728619234</v>
      </c>
    </row>
    <row r="154" spans="1:11" ht="12.75">
      <c r="A154" s="155"/>
      <c r="B154" s="156"/>
      <c r="C154" s="157"/>
      <c r="D154" s="156"/>
      <c r="E154" s="161">
        <f>+SUM(E100:E153)</f>
        <v>31152165.19</v>
      </c>
      <c r="F154" s="161">
        <f>+SUM(F100:F153)</f>
        <v>31332896.989999995</v>
      </c>
      <c r="G154" s="161">
        <f>+SUM(G100:G153)</f>
        <v>3152130290.795298</v>
      </c>
      <c r="H154" s="161">
        <f>+SUM(H100:H153)</f>
        <v>56801882997.80999</v>
      </c>
      <c r="I154" s="161"/>
      <c r="J154" s="161">
        <f>+SUM(J100:J153)</f>
        <v>245965142.34748927</v>
      </c>
      <c r="K154">
        <f>+SUM(K105:K153)</f>
        <v>0</v>
      </c>
    </row>
    <row r="157" spans="1:5" ht="12.75">
      <c r="A157" s="19"/>
      <c r="B157" s="19"/>
      <c r="C157" s="19"/>
      <c r="D157" s="19"/>
      <c r="E157" s="19"/>
    </row>
    <row r="158" spans="1:5" ht="12.75">
      <c r="A158" s="19"/>
      <c r="B158" s="21" t="s">
        <v>12</v>
      </c>
      <c r="C158" s="21" t="s">
        <v>36</v>
      </c>
      <c r="D158" s="21" t="s">
        <v>13</v>
      </c>
      <c r="E158" s="21" t="s">
        <v>37</v>
      </c>
    </row>
    <row r="159" spans="1:5" ht="12.75">
      <c r="A159" s="22">
        <f>+A96</f>
        <v>40670</v>
      </c>
      <c r="B159" s="20">
        <f>+F154</f>
        <v>31332896.989999995</v>
      </c>
      <c r="C159" s="23">
        <f>+J154/F154</f>
        <v>7.850060670291353</v>
      </c>
      <c r="D159" s="24">
        <f>+H154/F154</f>
        <v>1812.8512986187811</v>
      </c>
      <c r="E159" s="23">
        <f>+G154/F154</f>
        <v>100.60130385649663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210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43.57421875" style="0" customWidth="1"/>
    <col min="2" max="2" width="16.140625" style="0" customWidth="1"/>
    <col min="3" max="3" width="18.00390625" style="0" customWidth="1"/>
    <col min="4" max="4" width="17.28125" style="0" customWidth="1"/>
    <col min="5" max="5" width="28.7109375" style="0" customWidth="1"/>
    <col min="6" max="6" width="18.28125" style="0" customWidth="1"/>
    <col min="7" max="7" width="24.140625" style="0" customWidth="1"/>
    <col min="8" max="8" width="20.8515625" style="0" customWidth="1"/>
    <col min="9" max="9" width="28.7109375" style="0" customWidth="1"/>
    <col min="10" max="10" width="13.421875" style="0" customWidth="1"/>
    <col min="11" max="11" width="16.00390625" style="0" customWidth="1"/>
    <col min="12" max="12" width="14.8515625" style="0" customWidth="1"/>
    <col min="13" max="13" width="15.421875" style="0" customWidth="1"/>
    <col min="14" max="14" width="13.421875" style="0" customWidth="1"/>
    <col min="15" max="15" width="20.28125" style="0" bestFit="1" customWidth="1"/>
    <col min="16" max="16" width="43.57421875" style="0" bestFit="1" customWidth="1"/>
    <col min="17" max="17" width="19.7109375" style="0" bestFit="1" customWidth="1"/>
    <col min="18" max="19" width="18.421875" style="0" bestFit="1" customWidth="1"/>
    <col min="20" max="21" width="18.8515625" style="0" bestFit="1" customWidth="1"/>
    <col min="22" max="22" width="8.28125" style="0" bestFit="1" customWidth="1"/>
    <col min="23" max="23" width="19.7109375" style="0" bestFit="1" customWidth="1"/>
    <col min="24" max="24" width="6.00390625" style="0" bestFit="1" customWidth="1"/>
    <col min="25" max="25" width="15.57421875" style="0" bestFit="1" customWidth="1"/>
    <col min="27" max="27" width="20.8515625" style="0" bestFit="1" customWidth="1"/>
    <col min="28" max="28" width="8.28125" style="0" bestFit="1" customWidth="1"/>
    <col min="29" max="29" width="12.28125" style="0" bestFit="1" customWidth="1"/>
    <col min="30" max="30" width="10.8515625" style="0" bestFit="1" customWidth="1"/>
    <col min="31" max="31" width="18.8515625" style="0" bestFit="1" customWidth="1"/>
    <col min="32" max="32" width="20.00390625" style="0" bestFit="1" customWidth="1"/>
    <col min="33" max="33" width="18.421875" style="0" bestFit="1" customWidth="1"/>
    <col min="34" max="34" width="8.28125" style="0" bestFit="1" customWidth="1"/>
    <col min="35" max="35" width="19.7109375" style="0" bestFit="1" customWidth="1"/>
    <col min="36" max="37" width="16.00390625" style="0" bestFit="1" customWidth="1"/>
    <col min="47" max="47" width="42.421875" style="0" bestFit="1" customWidth="1"/>
    <col min="48" max="48" width="15.140625" style="0" bestFit="1" customWidth="1"/>
    <col min="49" max="49" width="17.57421875" style="0" bestFit="1" customWidth="1"/>
    <col min="50" max="50" width="16.57421875" style="0" bestFit="1" customWidth="1"/>
    <col min="51" max="51" width="25.8515625" style="0" bestFit="1" customWidth="1"/>
    <col min="52" max="52" width="17.28125" style="0" bestFit="1" customWidth="1"/>
  </cols>
  <sheetData>
    <row r="1" spans="1:5" ht="12.75">
      <c r="A1" s="1" t="s">
        <v>450</v>
      </c>
      <c r="E1" t="s">
        <v>92</v>
      </c>
    </row>
    <row r="3" spans="47:52" ht="12.75">
      <c r="AU3" s="29"/>
      <c r="AV3" s="29"/>
      <c r="AW3" s="29"/>
      <c r="AX3" s="29"/>
      <c r="AY3" s="29"/>
      <c r="AZ3" s="29"/>
    </row>
    <row r="4" spans="1:51" ht="12.75">
      <c r="A4" s="44" t="s">
        <v>0</v>
      </c>
      <c r="B4" s="44" t="s">
        <v>16</v>
      </c>
      <c r="C4" s="44" t="s">
        <v>17</v>
      </c>
      <c r="D4" s="44" t="s">
        <v>18</v>
      </c>
      <c r="E4" s="44" t="s">
        <v>5</v>
      </c>
      <c r="F4" s="44" t="s">
        <v>27</v>
      </c>
      <c r="G4" s="11"/>
      <c r="H4" s="49" t="s">
        <v>22</v>
      </c>
      <c r="I4" s="49" t="s">
        <v>5</v>
      </c>
      <c r="J4" s="49" t="s">
        <v>93</v>
      </c>
      <c r="K4" s="49" t="s">
        <v>94</v>
      </c>
      <c r="L4" s="49" t="s">
        <v>95</v>
      </c>
      <c r="O4" s="84" t="s">
        <v>184</v>
      </c>
      <c r="P4" s="85" t="s">
        <v>0</v>
      </c>
      <c r="Q4" s="85" t="s">
        <v>185</v>
      </c>
      <c r="R4" s="86" t="s">
        <v>186</v>
      </c>
      <c r="S4" s="85" t="s">
        <v>187</v>
      </c>
      <c r="T4" s="85" t="s">
        <v>190</v>
      </c>
      <c r="U4" s="85" t="s">
        <v>190</v>
      </c>
      <c r="V4" s="87" t="s">
        <v>93</v>
      </c>
      <c r="W4" s="87" t="s">
        <v>195</v>
      </c>
      <c r="X4" s="72"/>
      <c r="AA4" s="49" t="s">
        <v>22</v>
      </c>
      <c r="AB4" s="49" t="s">
        <v>93</v>
      </c>
      <c r="AC4" s="49" t="s">
        <v>94</v>
      </c>
      <c r="AD4" s="49" t="s">
        <v>95</v>
      </c>
      <c r="AE4" s="49" t="s">
        <v>190</v>
      </c>
      <c r="AF4" s="49" t="s">
        <v>188</v>
      </c>
      <c r="AG4" s="89" t="s">
        <v>187</v>
      </c>
      <c r="AH4" s="87" t="s">
        <v>93</v>
      </c>
      <c r="AI4" s="87" t="s">
        <v>195</v>
      </c>
      <c r="AT4" s="93"/>
      <c r="AU4" s="93"/>
      <c r="AV4" s="93"/>
      <c r="AW4" s="93"/>
      <c r="AX4" s="93"/>
      <c r="AY4" s="93"/>
    </row>
    <row r="5" spans="1:51" ht="12.75">
      <c r="A5" t="s">
        <v>444</v>
      </c>
      <c r="B5" s="8">
        <v>63748980</v>
      </c>
      <c r="C5" s="8">
        <v>6638000000</v>
      </c>
      <c r="D5" s="8">
        <v>960000000</v>
      </c>
      <c r="E5" s="41">
        <v>9600000</v>
      </c>
      <c r="F5" s="8" t="s">
        <v>445</v>
      </c>
      <c r="G5" s="8"/>
      <c r="H5" t="s">
        <v>69</v>
      </c>
      <c r="I5" s="9">
        <v>29475101.46</v>
      </c>
      <c r="J5" s="9">
        <v>202808878.593631</v>
      </c>
      <c r="K5" s="9">
        <v>35462950740.670006</v>
      </c>
      <c r="L5" s="9">
        <v>2963151097.7415624</v>
      </c>
      <c r="O5" s="73">
        <v>40968</v>
      </c>
      <c r="P5" s="74" t="s">
        <v>130</v>
      </c>
      <c r="Q5" s="74">
        <v>100.0764</v>
      </c>
      <c r="R5" s="75">
        <v>0</v>
      </c>
      <c r="S5" s="74">
        <v>6.53</v>
      </c>
      <c r="T5" s="74">
        <v>362776.95</v>
      </c>
      <c r="U5" s="95">
        <v>362776.95</v>
      </c>
      <c r="V5" s="76">
        <f>+((1+S5/100)^(90/360)-1)*(400)</f>
        <v>6.375926898814299</v>
      </c>
      <c r="W5" s="77">
        <f>+V5*T5</f>
        <v>2313039.31377481</v>
      </c>
      <c r="X5" s="77">
        <f>+SUM(W5)/SUM(T5)</f>
        <v>6.375926898814299</v>
      </c>
      <c r="Y5" s="77">
        <f>+SUM(W5)</f>
        <v>2313039.31377481</v>
      </c>
      <c r="AA5" t="s">
        <v>69</v>
      </c>
      <c r="AB5" s="2">
        <v>8.5</v>
      </c>
      <c r="AC5" s="2">
        <v>2880</v>
      </c>
      <c r="AD5" s="2">
        <v>100</v>
      </c>
      <c r="AE5" s="2">
        <v>1000000</v>
      </c>
      <c r="AF5" s="2">
        <v>1000000</v>
      </c>
      <c r="AG5" s="90">
        <v>8.7748</v>
      </c>
      <c r="AH5" s="76">
        <f>+((1+AG5/100)^(90/360)-1)*(400)</f>
        <v>8.500003593868666</v>
      </c>
      <c r="AI5" s="77">
        <f>+AH5*AE5</f>
        <v>8500003.593868665</v>
      </c>
      <c r="AT5" s="29"/>
      <c r="AU5" s="94"/>
      <c r="AV5" s="94"/>
      <c r="AW5" s="94"/>
      <c r="AX5" s="94"/>
      <c r="AY5" s="94"/>
    </row>
    <row r="6" spans="1:51" ht="12.75">
      <c r="A6" t="s">
        <v>446</v>
      </c>
      <c r="B6" s="8">
        <v>93118750</v>
      </c>
      <c r="C6" s="8">
        <v>22500000000</v>
      </c>
      <c r="D6" s="8">
        <v>1250000000</v>
      </c>
      <c r="E6" s="41">
        <v>12500000</v>
      </c>
      <c r="F6" s="8" t="s">
        <v>447</v>
      </c>
      <c r="G6" s="8"/>
      <c r="H6" t="s">
        <v>23</v>
      </c>
      <c r="I6" s="9">
        <v>1585595.55</v>
      </c>
      <c r="J6" s="9">
        <v>11089340.198993</v>
      </c>
      <c r="K6" s="9">
        <v>393311927.53</v>
      </c>
      <c r="L6" s="9">
        <v>158699294.19504997</v>
      </c>
      <c r="O6" s="73">
        <v>40975</v>
      </c>
      <c r="P6" s="74" t="s">
        <v>154</v>
      </c>
      <c r="Q6" s="74">
        <v>100</v>
      </c>
      <c r="R6" s="75">
        <v>0</v>
      </c>
      <c r="S6" s="74">
        <v>6.6638</v>
      </c>
      <c r="T6" s="74">
        <v>250000</v>
      </c>
      <c r="U6" s="95">
        <v>250000</v>
      </c>
      <c r="V6" s="76">
        <f aca="true" t="shared" si="0" ref="V6:V81">+((1+S6/100)^(90/360)-1)*(400)</f>
        <v>6.503467282644504</v>
      </c>
      <c r="W6" s="77">
        <f aca="true" t="shared" si="1" ref="W6:W81">+V6*T6</f>
        <v>1625866.820661126</v>
      </c>
      <c r="X6" s="72"/>
      <c r="AA6" t="s">
        <v>69</v>
      </c>
      <c r="AB6" s="2">
        <v>7.5</v>
      </c>
      <c r="AC6" s="2">
        <v>1800</v>
      </c>
      <c r="AD6" s="2">
        <v>100</v>
      </c>
      <c r="AE6" s="2">
        <v>4000000</v>
      </c>
      <c r="AF6" s="2">
        <v>4000000</v>
      </c>
      <c r="AG6" s="90">
        <v>7.7136</v>
      </c>
      <c r="AH6" s="76">
        <f aca="true" t="shared" si="2" ref="AH6:AH81">+((1+AG6/100)^(90/360)-1)*(400)</f>
        <v>7.500012694114311</v>
      </c>
      <c r="AI6" s="77">
        <f aca="true" t="shared" si="3" ref="AI6:AI81">+AH6*AE6</f>
        <v>30000050.776457243</v>
      </c>
      <c r="AU6" s="8"/>
      <c r="AV6" s="8"/>
      <c r="AW6" s="8"/>
      <c r="AX6" s="41"/>
      <c r="AY6" s="8"/>
    </row>
    <row r="7" spans="1:51" ht="12.75">
      <c r="A7" t="s">
        <v>430</v>
      </c>
      <c r="B7" s="8">
        <v>12873174.435008002</v>
      </c>
      <c r="C7" s="8">
        <v>1453061354.13</v>
      </c>
      <c r="D7" s="8">
        <v>151286942.695504</v>
      </c>
      <c r="E7" s="41">
        <v>1512934.66</v>
      </c>
      <c r="F7" s="8" t="s">
        <v>431</v>
      </c>
      <c r="G7" s="8"/>
      <c r="H7" t="s">
        <v>24</v>
      </c>
      <c r="I7" s="9">
        <v>247863.7</v>
      </c>
      <c r="J7" s="9">
        <v>2437817.714932</v>
      </c>
      <c r="K7" s="9">
        <v>259799697.7</v>
      </c>
      <c r="L7" s="9">
        <v>24807365.351575</v>
      </c>
      <c r="O7" s="73">
        <v>40975</v>
      </c>
      <c r="P7" s="74" t="s">
        <v>154</v>
      </c>
      <c r="Q7" s="74">
        <v>100</v>
      </c>
      <c r="R7" s="75">
        <v>6.5</v>
      </c>
      <c r="S7" s="74">
        <v>6.6602</v>
      </c>
      <c r="T7" s="74">
        <v>400000</v>
      </c>
      <c r="U7" s="95">
        <v>400000</v>
      </c>
      <c r="V7" s="76">
        <f t="shared" si="0"/>
        <v>6.500037274046466</v>
      </c>
      <c r="W7" s="77">
        <f t="shared" si="1"/>
        <v>2600014.9096185863</v>
      </c>
      <c r="X7" s="72"/>
      <c r="AA7" t="s">
        <v>69</v>
      </c>
      <c r="AB7" s="2">
        <v>7.75</v>
      </c>
      <c r="AC7" s="2">
        <v>1310</v>
      </c>
      <c r="AD7" s="2">
        <v>99.9954</v>
      </c>
      <c r="AE7" s="2">
        <v>199990.8</v>
      </c>
      <c r="AF7" s="2">
        <v>200000</v>
      </c>
      <c r="AG7" s="90">
        <v>7.9782</v>
      </c>
      <c r="AH7" s="76">
        <f t="shared" si="2"/>
        <v>7.750039891905658</v>
      </c>
      <c r="AI7" s="77">
        <f t="shared" si="3"/>
        <v>1549936.678014126</v>
      </c>
      <c r="AU7" s="8"/>
      <c r="AV7" s="8"/>
      <c r="AW7" s="8"/>
      <c r="AX7" s="41"/>
      <c r="AY7" s="8"/>
    </row>
    <row r="8" spans="1:51" ht="12.75">
      <c r="A8" t="s">
        <v>199</v>
      </c>
      <c r="B8" s="8">
        <v>382994.06809300004</v>
      </c>
      <c r="C8" s="8">
        <v>162700913.18</v>
      </c>
      <c r="D8" s="8">
        <v>17437850.436812002</v>
      </c>
      <c r="E8" s="41">
        <v>161730.53</v>
      </c>
      <c r="F8" s="8" t="s">
        <v>200</v>
      </c>
      <c r="G8" s="8"/>
      <c r="H8" t="s">
        <v>11</v>
      </c>
      <c r="I8" s="9">
        <f>SUM(I5:I7)</f>
        <v>31308560.71</v>
      </c>
      <c r="J8" s="9">
        <f>SUM(J5:J7)</f>
        <v>216336036.507556</v>
      </c>
      <c r="K8" s="9">
        <f>SUM(K5:K7)</f>
        <v>36116062365.9</v>
      </c>
      <c r="L8" s="9">
        <f>SUM(L5:L7)</f>
        <v>3146657757.288187</v>
      </c>
      <c r="O8" s="73">
        <v>40975</v>
      </c>
      <c r="P8" s="74" t="s">
        <v>154</v>
      </c>
      <c r="Q8" s="74">
        <v>100</v>
      </c>
      <c r="R8" s="75">
        <v>0</v>
      </c>
      <c r="S8" s="74">
        <v>6.6638</v>
      </c>
      <c r="T8" s="74">
        <v>850000</v>
      </c>
      <c r="U8" s="95">
        <v>850000</v>
      </c>
      <c r="V8" s="76">
        <f t="shared" si="0"/>
        <v>6.503467282644504</v>
      </c>
      <c r="W8" s="77">
        <f t="shared" si="1"/>
        <v>5527947.190247828</v>
      </c>
      <c r="X8" s="77">
        <f>+SUM(W6:W8)/SUM(T6:T8)</f>
        <v>6.502552613685027</v>
      </c>
      <c r="Y8" s="77">
        <f>+SUM(W6:W8)</f>
        <v>9753828.92052754</v>
      </c>
      <c r="AA8" t="s">
        <v>69</v>
      </c>
      <c r="AB8" s="2">
        <v>8.2</v>
      </c>
      <c r="AC8" s="2">
        <v>1179</v>
      </c>
      <c r="AD8" s="2">
        <v>101.3055</v>
      </c>
      <c r="AE8" s="2">
        <v>506527.5</v>
      </c>
      <c r="AF8" s="2">
        <v>500000</v>
      </c>
      <c r="AG8" s="90">
        <v>8.4556</v>
      </c>
      <c r="AH8" s="76">
        <f t="shared" si="2"/>
        <v>8.19998709879366</v>
      </c>
      <c r="AI8" s="77">
        <f t="shared" si="3"/>
        <v>4153518.965184205</v>
      </c>
      <c r="AU8" s="8"/>
      <c r="AV8" s="8"/>
      <c r="AW8" s="8"/>
      <c r="AX8" s="41"/>
      <c r="AY8" s="8"/>
    </row>
    <row r="9" spans="1:51" ht="12.75">
      <c r="A9" t="s">
        <v>292</v>
      </c>
      <c r="B9" s="8">
        <v>3044069.728219</v>
      </c>
      <c r="C9" s="8">
        <v>562401634.48</v>
      </c>
      <c r="D9" s="8">
        <v>81254969.95852602</v>
      </c>
      <c r="E9" s="41">
        <v>777352.55</v>
      </c>
      <c r="F9" s="8" t="s">
        <v>293</v>
      </c>
      <c r="G9" s="12"/>
      <c r="O9" s="73">
        <v>40921</v>
      </c>
      <c r="P9" s="74" t="s">
        <v>118</v>
      </c>
      <c r="Q9" s="74">
        <v>100</v>
      </c>
      <c r="R9" s="75">
        <v>8</v>
      </c>
      <c r="S9" s="74">
        <v>8.3</v>
      </c>
      <c r="T9" s="74">
        <v>30000</v>
      </c>
      <c r="U9" s="95">
        <v>30000</v>
      </c>
      <c r="V9" s="76">
        <f t="shared" si="0"/>
        <v>8.053498308212603</v>
      </c>
      <c r="W9" s="77">
        <f t="shared" si="1"/>
        <v>241604.9492463781</v>
      </c>
      <c r="X9" s="78"/>
      <c r="AA9" t="s">
        <v>69</v>
      </c>
      <c r="AB9" s="2">
        <v>7.5</v>
      </c>
      <c r="AC9" s="2">
        <v>948</v>
      </c>
      <c r="AD9" s="2">
        <v>100.9907</v>
      </c>
      <c r="AE9" s="2">
        <v>60594.42</v>
      </c>
      <c r="AF9" s="2">
        <v>60000</v>
      </c>
      <c r="AG9" s="90">
        <v>7.7136</v>
      </c>
      <c r="AH9" s="76">
        <f t="shared" si="2"/>
        <v>7.500012694114311</v>
      </c>
      <c r="AI9" s="77">
        <f t="shared" si="3"/>
        <v>454458.91919249407</v>
      </c>
      <c r="AU9" s="8"/>
      <c r="AV9" s="8"/>
      <c r="AW9" s="8"/>
      <c r="AX9" s="41"/>
      <c r="AY9" s="8"/>
    </row>
    <row r="10" spans="1:51" ht="12.75">
      <c r="A10" t="s">
        <v>117</v>
      </c>
      <c r="B10" s="8">
        <v>323784.501768</v>
      </c>
      <c r="C10" s="8">
        <v>80956451.52000001</v>
      </c>
      <c r="D10" s="8">
        <v>14461190.355360001</v>
      </c>
      <c r="E10" s="41">
        <v>137681.04</v>
      </c>
      <c r="F10" s="8" t="s">
        <v>327</v>
      </c>
      <c r="O10" s="73">
        <v>40984</v>
      </c>
      <c r="P10" s="74" t="s">
        <v>118</v>
      </c>
      <c r="Q10" s="74">
        <v>100</v>
      </c>
      <c r="R10" s="75">
        <v>0</v>
      </c>
      <c r="S10" s="74">
        <v>8.3</v>
      </c>
      <c r="T10" s="74">
        <v>15111.11</v>
      </c>
      <c r="U10" s="95">
        <v>15111.11</v>
      </c>
      <c r="V10" s="76">
        <f t="shared" si="0"/>
        <v>8.053498308212603</v>
      </c>
      <c r="W10" s="77">
        <f t="shared" si="1"/>
        <v>121697.29882021455</v>
      </c>
      <c r="X10" s="78"/>
      <c r="AA10" t="s">
        <v>69</v>
      </c>
      <c r="AB10" s="2">
        <v>6.146729</v>
      </c>
      <c r="AC10" s="2">
        <v>1507</v>
      </c>
      <c r="AD10" s="2">
        <v>102.9596</v>
      </c>
      <c r="AE10" s="2">
        <v>20591.92</v>
      </c>
      <c r="AF10" s="2">
        <v>20000</v>
      </c>
      <c r="AG10" s="90">
        <v>6.2899</v>
      </c>
      <c r="AH10" s="76">
        <f t="shared" si="2"/>
        <v>6.146758040251754</v>
      </c>
      <c r="AI10" s="77">
        <f t="shared" si="3"/>
        <v>126573.54982422089</v>
      </c>
      <c r="AU10" s="8"/>
      <c r="AV10" s="8"/>
      <c r="AW10" s="8"/>
      <c r="AX10" s="41"/>
      <c r="AY10" s="8"/>
    </row>
    <row r="11" spans="1:51" ht="12.75">
      <c r="A11" t="s">
        <v>256</v>
      </c>
      <c r="B11" s="8">
        <v>2437817.7149320003</v>
      </c>
      <c r="C11" s="8">
        <v>259799697.7</v>
      </c>
      <c r="D11" s="8">
        <v>24807365.351575</v>
      </c>
      <c r="E11" s="41">
        <v>247863.7</v>
      </c>
      <c r="F11" s="8" t="s">
        <v>257</v>
      </c>
      <c r="H11" t="str">
        <f>+MID(H5,8,20)</f>
        <v>COMERCIAL</v>
      </c>
      <c r="I11" s="9">
        <f>+I5</f>
        <v>29475101.46</v>
      </c>
      <c r="J11" s="50">
        <f>+J5/I5</f>
        <v>6.880684664270228</v>
      </c>
      <c r="K11" s="51">
        <f>+K5/I5</f>
        <v>1203.149403532876</v>
      </c>
      <c r="L11" s="50">
        <f>+L5/I5</f>
        <v>100.53064963195422</v>
      </c>
      <c r="O11" s="73">
        <v>40966</v>
      </c>
      <c r="P11" s="74" t="s">
        <v>118</v>
      </c>
      <c r="Q11" s="74">
        <v>100</v>
      </c>
      <c r="R11" s="75">
        <v>0</v>
      </c>
      <c r="S11" s="74">
        <v>8.0308</v>
      </c>
      <c r="T11" s="74">
        <v>40000</v>
      </c>
      <c r="U11" s="95">
        <v>40000</v>
      </c>
      <c r="V11" s="76">
        <f t="shared" si="0"/>
        <v>7.799688189536713</v>
      </c>
      <c r="W11" s="77">
        <f t="shared" si="1"/>
        <v>311987.5275814685</v>
      </c>
      <c r="X11" s="79"/>
      <c r="AA11" t="s">
        <v>69</v>
      </c>
      <c r="AB11" s="2">
        <v>6.146729</v>
      </c>
      <c r="AC11" s="2">
        <v>1507</v>
      </c>
      <c r="AD11" s="2">
        <v>102.9596</v>
      </c>
      <c r="AE11" s="2">
        <v>20591.92</v>
      </c>
      <c r="AF11" s="2">
        <v>20000</v>
      </c>
      <c r="AG11" s="90">
        <v>6.2899</v>
      </c>
      <c r="AH11" s="76">
        <f t="shared" si="2"/>
        <v>6.146758040251754</v>
      </c>
      <c r="AI11" s="77">
        <f t="shared" si="3"/>
        <v>126573.54982422089</v>
      </c>
      <c r="AU11" s="8"/>
      <c r="AV11" s="8"/>
      <c r="AW11" s="8"/>
      <c r="AX11" s="41"/>
      <c r="AY11" s="8"/>
    </row>
    <row r="12" spans="1:51" ht="12.75">
      <c r="A12" t="s">
        <v>111</v>
      </c>
      <c r="B12" s="8">
        <v>804271.727155</v>
      </c>
      <c r="C12" s="8">
        <v>268759130.77</v>
      </c>
      <c r="D12" s="8">
        <v>33525217.624404</v>
      </c>
      <c r="E12" s="41">
        <v>308563.87</v>
      </c>
      <c r="F12" s="8" t="s">
        <v>296</v>
      </c>
      <c r="G12" s="1"/>
      <c r="H12" t="str">
        <f>+MID(H6,8,20)</f>
        <v>FINANCIERO</v>
      </c>
      <c r="I12" s="9">
        <f>+I6</f>
        <v>1585595.55</v>
      </c>
      <c r="J12" s="50">
        <f>+J6/I6</f>
        <v>6.993801287467664</v>
      </c>
      <c r="K12" s="51">
        <f>+K6/I6</f>
        <v>248.05312270837285</v>
      </c>
      <c r="L12" s="50">
        <f>+L6/I6</f>
        <v>100.0881304157608</v>
      </c>
      <c r="O12" s="73">
        <v>40948</v>
      </c>
      <c r="P12" s="74" t="s">
        <v>118</v>
      </c>
      <c r="Q12" s="74">
        <v>100</v>
      </c>
      <c r="R12" s="75">
        <v>0</v>
      </c>
      <c r="S12" s="74">
        <v>8.2996</v>
      </c>
      <c r="T12" s="74">
        <v>200000</v>
      </c>
      <c r="U12" s="95">
        <v>200000</v>
      </c>
      <c r="V12" s="76">
        <f t="shared" si="0"/>
        <v>8.053121526990559</v>
      </c>
      <c r="W12" s="77">
        <f t="shared" si="1"/>
        <v>1610624.3053981117</v>
      </c>
      <c r="AA12" t="s">
        <v>69</v>
      </c>
      <c r="AB12" s="2">
        <v>7.9971</v>
      </c>
      <c r="AC12" s="2">
        <v>1398</v>
      </c>
      <c r="AD12" s="2">
        <v>100</v>
      </c>
      <c r="AE12" s="2">
        <v>10000</v>
      </c>
      <c r="AF12" s="2">
        <v>10000</v>
      </c>
      <c r="AG12" s="90">
        <v>8.2401</v>
      </c>
      <c r="AH12" s="76">
        <f t="shared" si="2"/>
        <v>7.997063691907513</v>
      </c>
      <c r="AI12" s="77">
        <f t="shared" si="3"/>
        <v>79970.63691907513</v>
      </c>
      <c r="AU12" s="8"/>
      <c r="AV12" s="8"/>
      <c r="AW12" s="8"/>
      <c r="AX12" s="41"/>
      <c r="AY12" s="8"/>
    </row>
    <row r="13" spans="1:51" ht="12.75">
      <c r="A13" t="s">
        <v>286</v>
      </c>
      <c r="B13" s="8">
        <v>1848709.9816179997</v>
      </c>
      <c r="C13" s="8">
        <v>350524985.1</v>
      </c>
      <c r="D13" s="8">
        <v>99684255.81287901</v>
      </c>
      <c r="E13" s="41">
        <v>954261.14</v>
      </c>
      <c r="F13" s="8" t="s">
        <v>297</v>
      </c>
      <c r="G13" s="13"/>
      <c r="H13" t="str">
        <f>+MID(H7,8,20)</f>
        <v>SERVICIOS</v>
      </c>
      <c r="I13" s="9">
        <f>+I7</f>
        <v>247863.7</v>
      </c>
      <c r="J13" s="50">
        <f>+J7/I7</f>
        <v>9.835315598580992</v>
      </c>
      <c r="K13" s="51">
        <f>+K7/I7</f>
        <v>1048.155489085332</v>
      </c>
      <c r="L13" s="50">
        <f>+L7/I7</f>
        <v>100.08470522942649</v>
      </c>
      <c r="O13" s="73">
        <v>41011</v>
      </c>
      <c r="P13" s="74" t="s">
        <v>118</v>
      </c>
      <c r="Q13" s="74">
        <v>100</v>
      </c>
      <c r="R13" s="75">
        <v>0</v>
      </c>
      <c r="S13" s="74">
        <v>8.0309</v>
      </c>
      <c r="T13" s="74">
        <v>20307.69</v>
      </c>
      <c r="U13" s="95">
        <v>20307.69</v>
      </c>
      <c r="V13" s="76">
        <f t="shared" si="0"/>
        <v>7.799782560666646</v>
      </c>
      <c r="W13" s="77">
        <f t="shared" si="1"/>
        <v>158395.56630942444</v>
      </c>
      <c r="X13" s="77">
        <f>+SUM(W9:W13)/SUM(T9:T13)</f>
        <v>8.003140760672222</v>
      </c>
      <c r="Y13" s="77">
        <f>+SUM(W9:W13)</f>
        <v>2444309.6473555975</v>
      </c>
      <c r="AA13" t="s">
        <v>69</v>
      </c>
      <c r="AB13" s="2">
        <v>8.5</v>
      </c>
      <c r="AC13" s="2">
        <v>1800</v>
      </c>
      <c r="AD13" s="2">
        <v>100</v>
      </c>
      <c r="AE13" s="2">
        <v>1500000</v>
      </c>
      <c r="AF13" s="2">
        <v>1500000</v>
      </c>
      <c r="AG13" s="90">
        <v>8.7748</v>
      </c>
      <c r="AH13" s="76">
        <f t="shared" si="2"/>
        <v>8.500003593868666</v>
      </c>
      <c r="AI13" s="77">
        <f t="shared" si="3"/>
        <v>12750005.390802998</v>
      </c>
      <c r="AU13" s="8"/>
      <c r="AV13" s="8"/>
      <c r="AW13" s="8"/>
      <c r="AX13" s="41"/>
      <c r="AY13" s="8"/>
    </row>
    <row r="14" spans="1:51" ht="12.75">
      <c r="A14" t="s">
        <v>277</v>
      </c>
      <c r="B14" s="8">
        <v>140946.395564</v>
      </c>
      <c r="C14" s="8">
        <v>47200173.11999999</v>
      </c>
      <c r="D14" s="8">
        <v>5554752.4846520005</v>
      </c>
      <c r="E14" s="41">
        <v>51671.95</v>
      </c>
      <c r="F14" s="8" t="s">
        <v>278</v>
      </c>
      <c r="G14" s="13"/>
      <c r="I14" s="9"/>
      <c r="J14" s="50"/>
      <c r="K14" s="51"/>
      <c r="L14" s="50"/>
      <c r="O14" s="73">
        <v>40913</v>
      </c>
      <c r="P14" s="74" t="s">
        <v>115</v>
      </c>
      <c r="Q14" s="74">
        <v>99.9954</v>
      </c>
      <c r="R14" s="75">
        <v>7.75</v>
      </c>
      <c r="S14" s="74">
        <v>7.9782</v>
      </c>
      <c r="T14" s="74">
        <v>199990.8</v>
      </c>
      <c r="U14" s="95">
        <v>199990.8</v>
      </c>
      <c r="V14" s="76">
        <f t="shared" si="0"/>
        <v>7.750039891905658</v>
      </c>
      <c r="W14" s="77">
        <f t="shared" si="1"/>
        <v>1549936.678014126</v>
      </c>
      <c r="X14" s="80"/>
      <c r="AA14" t="s">
        <v>69</v>
      </c>
      <c r="AB14" s="2">
        <v>9.25</v>
      </c>
      <c r="AC14" s="2">
        <v>2880</v>
      </c>
      <c r="AD14" s="2">
        <v>96.7678</v>
      </c>
      <c r="AE14" s="2">
        <v>967678</v>
      </c>
      <c r="AF14" s="2">
        <v>1000000</v>
      </c>
      <c r="AG14" s="90">
        <v>9.5758</v>
      </c>
      <c r="AH14" s="76">
        <f t="shared" si="2"/>
        <v>9.249967736011477</v>
      </c>
      <c r="AI14" s="77">
        <f t="shared" si="3"/>
        <v>8950990.278848113</v>
      </c>
      <c r="AU14" s="8"/>
      <c r="AV14" s="8"/>
      <c r="AW14" s="8"/>
      <c r="AX14" s="41"/>
      <c r="AY14" s="8"/>
    </row>
    <row r="15" spans="1:51" ht="12.75">
      <c r="A15" t="s">
        <v>304</v>
      </c>
      <c r="B15" s="8">
        <v>243957.354849</v>
      </c>
      <c r="C15" s="8">
        <v>63917026.019999996</v>
      </c>
      <c r="D15" s="8">
        <v>11646301.406148</v>
      </c>
      <c r="E15" s="41">
        <v>110583.09</v>
      </c>
      <c r="F15" s="8" t="s">
        <v>315</v>
      </c>
      <c r="G15" s="13"/>
      <c r="H15" t="s">
        <v>11</v>
      </c>
      <c r="I15" s="9">
        <f>+I8</f>
        <v>31308560.71</v>
      </c>
      <c r="J15" s="50">
        <f>+J8/I8</f>
        <v>6.909804590233302</v>
      </c>
      <c r="K15" s="51">
        <f>+K8/I8</f>
        <v>1153.5523047651461</v>
      </c>
      <c r="L15" s="50">
        <f>+L8/I8</f>
        <v>100.50470816702666</v>
      </c>
      <c r="O15" s="73">
        <v>40926</v>
      </c>
      <c r="P15" s="74" t="s">
        <v>115</v>
      </c>
      <c r="Q15" s="74">
        <v>99.9955</v>
      </c>
      <c r="R15" s="75">
        <v>7.75</v>
      </c>
      <c r="S15" s="74">
        <v>7.9782</v>
      </c>
      <c r="T15" s="74">
        <v>19999.1</v>
      </c>
      <c r="U15" s="95">
        <v>19999.1</v>
      </c>
      <c r="V15" s="76">
        <f t="shared" si="0"/>
        <v>7.750039891905658</v>
      </c>
      <c r="W15" s="77">
        <f t="shared" si="1"/>
        <v>154993.82280221043</v>
      </c>
      <c r="X15" s="79"/>
      <c r="AA15" t="s">
        <v>69</v>
      </c>
      <c r="AB15" s="2">
        <v>9.25</v>
      </c>
      <c r="AC15" s="2">
        <v>2880</v>
      </c>
      <c r="AD15" s="2">
        <v>96.7678</v>
      </c>
      <c r="AE15" s="2">
        <v>774142.4</v>
      </c>
      <c r="AF15" s="2">
        <v>800000</v>
      </c>
      <c r="AG15" s="90">
        <v>9.5758</v>
      </c>
      <c r="AH15" s="76">
        <f t="shared" si="2"/>
        <v>9.249967736011477</v>
      </c>
      <c r="AI15" s="77">
        <f t="shared" si="3"/>
        <v>7160792.223078492</v>
      </c>
      <c r="AU15" s="8"/>
      <c r="AV15" s="8"/>
      <c r="AW15" s="8"/>
      <c r="AX15" s="41"/>
      <c r="AY15" s="8"/>
    </row>
    <row r="16" spans="1:51" ht="12.75">
      <c r="A16" t="s">
        <v>443</v>
      </c>
      <c r="B16" s="8">
        <v>1035327.4552319999</v>
      </c>
      <c r="C16" s="8">
        <v>179730394.56</v>
      </c>
      <c r="D16" s="8">
        <v>12559549.924031999</v>
      </c>
      <c r="E16" s="41">
        <v>125597.76</v>
      </c>
      <c r="F16" s="8" t="s">
        <v>448</v>
      </c>
      <c r="G16" s="13"/>
      <c r="O16" s="73">
        <v>40931</v>
      </c>
      <c r="P16" s="74" t="s">
        <v>115</v>
      </c>
      <c r="Q16" s="74">
        <v>99.6323</v>
      </c>
      <c r="R16" s="75">
        <v>8</v>
      </c>
      <c r="S16" s="74">
        <v>8.2432</v>
      </c>
      <c r="T16" s="74">
        <v>98635.98</v>
      </c>
      <c r="U16" s="95">
        <v>98635.98</v>
      </c>
      <c r="V16" s="76">
        <f t="shared" si="0"/>
        <v>7.9999849228418185</v>
      </c>
      <c r="W16" s="77">
        <f t="shared" si="1"/>
        <v>789086.3528497271</v>
      </c>
      <c r="X16" s="80"/>
      <c r="AA16" t="s">
        <v>69</v>
      </c>
      <c r="AB16" s="2">
        <v>9.25</v>
      </c>
      <c r="AC16" s="2">
        <v>2880</v>
      </c>
      <c r="AD16" s="2">
        <v>96.7678</v>
      </c>
      <c r="AE16" s="2">
        <v>677374.6</v>
      </c>
      <c r="AF16" s="2">
        <v>700000</v>
      </c>
      <c r="AG16" s="90">
        <v>9.5758</v>
      </c>
      <c r="AH16" s="76">
        <f t="shared" si="2"/>
        <v>9.249967736011477</v>
      </c>
      <c r="AI16" s="77">
        <f t="shared" si="3"/>
        <v>6265693.19519368</v>
      </c>
      <c r="AU16" s="8"/>
      <c r="AV16" s="8"/>
      <c r="AW16" s="8"/>
      <c r="AX16" s="41"/>
      <c r="AY16" s="8"/>
    </row>
    <row r="17" spans="1:51" ht="12.75">
      <c r="A17" t="s">
        <v>433</v>
      </c>
      <c r="B17" s="8">
        <v>2298701.6261059996</v>
      </c>
      <c r="C17" s="8">
        <v>418731450.6999999</v>
      </c>
      <c r="D17" s="8">
        <v>24394088.512746</v>
      </c>
      <c r="E17" s="41">
        <v>246951.82</v>
      </c>
      <c r="F17" s="8" t="s">
        <v>437</v>
      </c>
      <c r="G17" s="13"/>
      <c r="O17" s="73">
        <v>40932</v>
      </c>
      <c r="P17" s="74" t="s">
        <v>115</v>
      </c>
      <c r="Q17" s="74">
        <v>99.9958</v>
      </c>
      <c r="R17" s="75">
        <v>7.75</v>
      </c>
      <c r="S17" s="74">
        <v>7.9782</v>
      </c>
      <c r="T17" s="74">
        <v>64997.27</v>
      </c>
      <c r="U17" s="95">
        <v>64997.27</v>
      </c>
      <c r="V17" s="76">
        <f t="shared" si="0"/>
        <v>7.750039891905658</v>
      </c>
      <c r="W17" s="77">
        <f t="shared" si="1"/>
        <v>503731.43536496285</v>
      </c>
      <c r="X17" s="79"/>
      <c r="AA17" t="s">
        <v>69</v>
      </c>
      <c r="AB17" s="2">
        <v>8</v>
      </c>
      <c r="AC17" s="2">
        <v>1292</v>
      </c>
      <c r="AD17" s="2">
        <v>99.6323</v>
      </c>
      <c r="AE17" s="2">
        <v>98635.98</v>
      </c>
      <c r="AF17" s="2">
        <v>99000</v>
      </c>
      <c r="AG17" s="90">
        <v>8.2432</v>
      </c>
      <c r="AH17" s="76">
        <f t="shared" si="2"/>
        <v>7.9999849228418185</v>
      </c>
      <c r="AI17" s="77">
        <f t="shared" si="3"/>
        <v>789086.3528497271</v>
      </c>
      <c r="AU17" s="8"/>
      <c r="AV17" s="8"/>
      <c r="AW17" s="8"/>
      <c r="AX17" s="41"/>
      <c r="AY17" s="8"/>
    </row>
    <row r="18" spans="1:51" ht="12.75">
      <c r="A18" t="s">
        <v>439</v>
      </c>
      <c r="B18" s="8">
        <v>22009056.842336003</v>
      </c>
      <c r="C18" s="8">
        <v>2445050665.01</v>
      </c>
      <c r="D18" s="8">
        <v>261929946.656007</v>
      </c>
      <c r="E18" s="41">
        <v>2616645.98</v>
      </c>
      <c r="F18" s="8" t="s">
        <v>440</v>
      </c>
      <c r="H18" t="s">
        <v>96</v>
      </c>
      <c r="I18" s="52" t="str">
        <f>IF(I15=B45,"SI","NO")</f>
        <v>SI</v>
      </c>
      <c r="J18" s="52" t="str">
        <f>IF(J15=C45,"SI","NO")</f>
        <v>SI</v>
      </c>
      <c r="K18" s="52" t="str">
        <f>IF(K15=D45,"SI","NO")</f>
        <v>SI</v>
      </c>
      <c r="L18" s="52" t="str">
        <f>IF(L15=E45,"SI","NO")</f>
        <v>SI</v>
      </c>
      <c r="M18" s="2"/>
      <c r="N18" s="2"/>
      <c r="O18" s="73">
        <v>40935</v>
      </c>
      <c r="P18" s="74" t="s">
        <v>115</v>
      </c>
      <c r="Q18" s="74">
        <v>99.635</v>
      </c>
      <c r="R18" s="75">
        <v>8</v>
      </c>
      <c r="S18" s="74">
        <v>8.2432</v>
      </c>
      <c r="T18" s="74">
        <v>80704.37</v>
      </c>
      <c r="U18" s="95">
        <v>80704.37</v>
      </c>
      <c r="V18" s="76">
        <f t="shared" si="0"/>
        <v>7.9999849228418185</v>
      </c>
      <c r="W18" s="77">
        <f t="shared" si="1"/>
        <v>645633.7432074476</v>
      </c>
      <c r="X18" s="80"/>
      <c r="AA18" t="s">
        <v>69</v>
      </c>
      <c r="AB18" s="2">
        <v>7.75</v>
      </c>
      <c r="AC18" s="2">
        <v>1291</v>
      </c>
      <c r="AD18" s="2">
        <v>99.9958</v>
      </c>
      <c r="AE18" s="2">
        <v>64997.27</v>
      </c>
      <c r="AF18" s="2">
        <v>65000</v>
      </c>
      <c r="AG18" s="90">
        <v>7.9782</v>
      </c>
      <c r="AH18" s="76">
        <f t="shared" si="2"/>
        <v>7.750039891905658</v>
      </c>
      <c r="AI18" s="77">
        <f t="shared" si="3"/>
        <v>503731.43536496285</v>
      </c>
      <c r="AU18" s="8"/>
      <c r="AV18" s="8"/>
      <c r="AW18" s="8"/>
      <c r="AX18" s="41"/>
      <c r="AY18" s="8"/>
    </row>
    <row r="19" spans="1:51" ht="12.75">
      <c r="A19" t="s">
        <v>100</v>
      </c>
      <c r="B19" s="8">
        <v>107736.07164</v>
      </c>
      <c r="C19" s="8">
        <v>35299016.36</v>
      </c>
      <c r="D19" s="8">
        <v>5398634.627136</v>
      </c>
      <c r="E19" s="41">
        <v>51083.96</v>
      </c>
      <c r="F19" s="8" t="s">
        <v>301</v>
      </c>
      <c r="O19" s="73">
        <v>40935</v>
      </c>
      <c r="P19" s="74" t="s">
        <v>115</v>
      </c>
      <c r="Q19" s="74">
        <v>99.996</v>
      </c>
      <c r="R19" s="75">
        <v>7.75</v>
      </c>
      <c r="S19" s="74">
        <v>7.9782</v>
      </c>
      <c r="T19" s="74">
        <v>79996.81</v>
      </c>
      <c r="U19" s="95">
        <v>79996.81</v>
      </c>
      <c r="V19" s="76">
        <f t="shared" si="0"/>
        <v>7.750039891905658</v>
      </c>
      <c r="W19" s="77">
        <f t="shared" si="1"/>
        <v>619978.4687251975</v>
      </c>
      <c r="X19" s="79"/>
      <c r="AA19" t="s">
        <v>69</v>
      </c>
      <c r="AB19" s="2">
        <v>8</v>
      </c>
      <c r="AC19" s="2">
        <v>1384</v>
      </c>
      <c r="AD19" s="2">
        <v>99.9953</v>
      </c>
      <c r="AE19" s="2">
        <v>1499930.11</v>
      </c>
      <c r="AF19" s="2">
        <v>1500000</v>
      </c>
      <c r="AG19" s="90">
        <v>8.2432</v>
      </c>
      <c r="AH19" s="76">
        <f t="shared" si="2"/>
        <v>7.9999849228418185</v>
      </c>
      <c r="AI19" s="77">
        <f t="shared" si="3"/>
        <v>11999418.265316471</v>
      </c>
      <c r="AU19" s="8"/>
      <c r="AV19" s="8"/>
      <c r="AW19" s="8"/>
      <c r="AX19" s="41"/>
      <c r="AY19" s="8"/>
    </row>
    <row r="20" spans="1:51" ht="12.75">
      <c r="A20" t="s">
        <v>70</v>
      </c>
      <c r="B20" s="8">
        <v>11089340.198993</v>
      </c>
      <c r="C20" s="8">
        <v>393311927.53</v>
      </c>
      <c r="D20" s="8">
        <v>158699294.19504997</v>
      </c>
      <c r="E20" s="41">
        <v>1585595.55</v>
      </c>
      <c r="F20" s="8" t="s">
        <v>449</v>
      </c>
      <c r="O20" s="73">
        <v>40940</v>
      </c>
      <c r="P20" s="74" t="s">
        <v>115</v>
      </c>
      <c r="Q20" s="74">
        <v>99.9964</v>
      </c>
      <c r="R20" s="75">
        <v>7.75</v>
      </c>
      <c r="S20" s="74">
        <v>7.9782</v>
      </c>
      <c r="T20" s="74">
        <v>14999.45</v>
      </c>
      <c r="U20" s="95">
        <v>14999.45</v>
      </c>
      <c r="V20" s="76">
        <f t="shared" si="0"/>
        <v>7.750039891905658</v>
      </c>
      <c r="W20" s="77">
        <f t="shared" si="1"/>
        <v>116246.33585664432</v>
      </c>
      <c r="X20" s="80"/>
      <c r="AA20" t="s">
        <v>69</v>
      </c>
      <c r="AB20" s="2">
        <v>7.4715</v>
      </c>
      <c r="AC20" s="2">
        <v>1367</v>
      </c>
      <c r="AD20" s="2">
        <v>100.5043</v>
      </c>
      <c r="AE20" s="2">
        <v>166730.46</v>
      </c>
      <c r="AF20" s="2">
        <v>165893.86</v>
      </c>
      <c r="AG20" s="90">
        <v>7.6834</v>
      </c>
      <c r="AH20" s="76">
        <f t="shared" si="2"/>
        <v>7.471446676221571</v>
      </c>
      <c r="AI20" s="77">
        <f t="shared" si="3"/>
        <v>1245717.7411918936</v>
      </c>
      <c r="AU20" s="8"/>
      <c r="AV20" s="8"/>
      <c r="AW20" s="8"/>
      <c r="AX20" s="41"/>
      <c r="AY20" s="8"/>
    </row>
    <row r="21" spans="1:51" ht="12.75">
      <c r="A21" t="s">
        <v>104</v>
      </c>
      <c r="B21" s="8">
        <v>482100.31887899997</v>
      </c>
      <c r="C21" s="8">
        <v>166316950.68</v>
      </c>
      <c r="D21" s="8">
        <v>13950864.064605</v>
      </c>
      <c r="E21" s="41">
        <v>128728.29</v>
      </c>
      <c r="F21" s="8" t="s">
        <v>342</v>
      </c>
      <c r="O21" s="73">
        <v>40987</v>
      </c>
      <c r="P21" s="74" t="s">
        <v>155</v>
      </c>
      <c r="Q21" s="74">
        <v>99.8362</v>
      </c>
      <c r="R21" s="75">
        <v>6.8</v>
      </c>
      <c r="S21" s="74">
        <v>6.9754</v>
      </c>
      <c r="T21" s="74">
        <v>378574.17</v>
      </c>
      <c r="U21" s="95">
        <v>378574.17</v>
      </c>
      <c r="V21" s="76">
        <f t="shared" si="0"/>
        <v>6.800025143648369</v>
      </c>
      <c r="W21" s="77">
        <f t="shared" si="1"/>
        <v>2574313.874735812</v>
      </c>
      <c r="X21" s="79"/>
      <c r="AA21" t="s">
        <v>69</v>
      </c>
      <c r="AB21" s="2">
        <v>8.4994</v>
      </c>
      <c r="AC21" s="2">
        <v>1794</v>
      </c>
      <c r="AD21" s="2">
        <v>100</v>
      </c>
      <c r="AE21" s="2">
        <v>100000</v>
      </c>
      <c r="AF21" s="2">
        <v>100000</v>
      </c>
      <c r="AG21" s="90">
        <v>8.7742</v>
      </c>
      <c r="AH21" s="76">
        <f t="shared" si="2"/>
        <v>8.499440272885384</v>
      </c>
      <c r="AI21" s="77">
        <f t="shared" si="3"/>
        <v>849944.0272885384</v>
      </c>
      <c r="AU21" s="8"/>
      <c r="AV21" s="8"/>
      <c r="AW21" s="8"/>
      <c r="AX21" s="41"/>
      <c r="AY21" s="8"/>
    </row>
    <row r="22" spans="1:51" ht="12.75">
      <c r="A22" t="s">
        <v>284</v>
      </c>
      <c r="B22" s="8">
        <v>346318.087164</v>
      </c>
      <c r="C22" s="8">
        <v>90300595.04</v>
      </c>
      <c r="D22" s="8">
        <v>20066533.18275</v>
      </c>
      <c r="E22" s="41">
        <v>191314.82</v>
      </c>
      <c r="F22" s="8" t="s">
        <v>285</v>
      </c>
      <c r="O22" s="73">
        <v>40933</v>
      </c>
      <c r="P22" s="74" t="s">
        <v>97</v>
      </c>
      <c r="Q22" s="74">
        <v>100.5043</v>
      </c>
      <c r="R22" s="75">
        <v>7.4715</v>
      </c>
      <c r="S22" s="74">
        <v>7.6834</v>
      </c>
      <c r="T22" s="74">
        <v>166730.46</v>
      </c>
      <c r="U22" s="95">
        <v>166730.46</v>
      </c>
      <c r="V22" s="76">
        <f t="shared" si="0"/>
        <v>7.471446676221571</v>
      </c>
      <c r="W22" s="77">
        <f t="shared" si="1"/>
        <v>1245717.7411918936</v>
      </c>
      <c r="X22" s="80"/>
      <c r="AA22" t="s">
        <v>69</v>
      </c>
      <c r="AB22" s="2">
        <v>8.4993</v>
      </c>
      <c r="AC22" s="2">
        <v>1793</v>
      </c>
      <c r="AD22" s="2">
        <v>100</v>
      </c>
      <c r="AE22" s="2">
        <v>1000000.01</v>
      </c>
      <c r="AF22" s="2">
        <v>1000000</v>
      </c>
      <c r="AG22" s="90">
        <v>8.7741</v>
      </c>
      <c r="AH22" s="76">
        <f t="shared" si="2"/>
        <v>8.499346385828321</v>
      </c>
      <c r="AI22" s="77">
        <f t="shared" si="3"/>
        <v>8499346.470821785</v>
      </c>
      <c r="AU22" s="8"/>
      <c r="AV22" s="8"/>
      <c r="AW22" s="8"/>
      <c r="AX22" s="41"/>
      <c r="AY22" s="8"/>
    </row>
    <row r="23" spans="1:51" ht="12.75">
      <c r="A23" s="11" t="s">
        <v>11</v>
      </c>
      <c r="B23" s="12">
        <f>SUM(B5:B22)</f>
        <v>216336036.507556</v>
      </c>
      <c r="C23" s="12">
        <f>SUM(C5:C22)</f>
        <v>36116062365.9</v>
      </c>
      <c r="D23" s="12">
        <f>SUM(D5:D22)</f>
        <v>3146657757.2881866</v>
      </c>
      <c r="E23" s="12">
        <f>SUM(E5:E22)</f>
        <v>31308560.710000005</v>
      </c>
      <c r="F23" s="42"/>
      <c r="O23" s="73">
        <v>40914</v>
      </c>
      <c r="P23" s="74" t="s">
        <v>110</v>
      </c>
      <c r="Q23" s="74">
        <v>100.9907</v>
      </c>
      <c r="R23" s="75">
        <v>7.5</v>
      </c>
      <c r="S23" s="74">
        <v>7.7136</v>
      </c>
      <c r="T23" s="74">
        <v>60594.42</v>
      </c>
      <c r="U23" s="95">
        <v>60594.42</v>
      </c>
      <c r="V23" s="76">
        <f t="shared" si="0"/>
        <v>7.500012694114311</v>
      </c>
      <c r="W23" s="77">
        <f t="shared" si="1"/>
        <v>454458.91919249407</v>
      </c>
      <c r="X23" s="79"/>
      <c r="AA23" t="s">
        <v>69</v>
      </c>
      <c r="AB23" s="2">
        <v>6.7</v>
      </c>
      <c r="AC23" s="2">
        <v>1684</v>
      </c>
      <c r="AD23" s="2">
        <v>102.4504</v>
      </c>
      <c r="AE23" s="2">
        <v>81960.3</v>
      </c>
      <c r="AF23" s="2">
        <v>80000</v>
      </c>
      <c r="AG23" s="90">
        <v>6.8702</v>
      </c>
      <c r="AH23" s="76">
        <f t="shared" si="2"/>
        <v>6.699976081847314</v>
      </c>
      <c r="AI23" s="77">
        <f t="shared" si="3"/>
        <v>549132.0496610304</v>
      </c>
      <c r="AU23" s="8"/>
      <c r="AV23" s="8"/>
      <c r="AW23" s="8"/>
      <c r="AX23" s="41"/>
      <c r="AY23" s="8"/>
    </row>
    <row r="24" spans="2:51" ht="12.75">
      <c r="B24" s="12"/>
      <c r="C24" s="12"/>
      <c r="D24" s="12"/>
      <c r="E24" s="12"/>
      <c r="O24" s="73">
        <v>40987</v>
      </c>
      <c r="P24" s="74" t="s">
        <v>131</v>
      </c>
      <c r="Q24" s="74">
        <v>100</v>
      </c>
      <c r="R24" s="75">
        <v>8.2467</v>
      </c>
      <c r="S24" s="74">
        <v>8.5053</v>
      </c>
      <c r="T24" s="74">
        <v>100000</v>
      </c>
      <c r="U24" s="95">
        <v>100000</v>
      </c>
      <c r="V24" s="76">
        <f t="shared" si="0"/>
        <v>8.246743683949465</v>
      </c>
      <c r="W24" s="77">
        <f t="shared" si="1"/>
        <v>824674.3683949464</v>
      </c>
      <c r="X24" s="80"/>
      <c r="AA24" t="s">
        <v>69</v>
      </c>
      <c r="AB24" s="2">
        <v>0</v>
      </c>
      <c r="AC24" s="2">
        <v>2874</v>
      </c>
      <c r="AD24" s="2">
        <v>96.7739</v>
      </c>
      <c r="AE24" s="2">
        <v>193547.8</v>
      </c>
      <c r="AF24" s="2">
        <v>200000</v>
      </c>
      <c r="AG24" s="90">
        <v>9.5758</v>
      </c>
      <c r="AH24" s="76">
        <f t="shared" si="2"/>
        <v>9.249967736011477</v>
      </c>
      <c r="AI24" s="77">
        <f t="shared" si="3"/>
        <v>1790310.9053760022</v>
      </c>
      <c r="AU24" s="8"/>
      <c r="AV24" s="8"/>
      <c r="AW24" s="8"/>
      <c r="AX24" s="41"/>
      <c r="AY24" s="8"/>
    </row>
    <row r="25" spans="2:51" ht="12.75">
      <c r="B25" s="2"/>
      <c r="D25" s="43"/>
      <c r="O25" s="73">
        <v>40984</v>
      </c>
      <c r="P25" s="74" t="s">
        <v>131</v>
      </c>
      <c r="Q25" s="74">
        <v>100</v>
      </c>
      <c r="R25" s="75">
        <v>8.2469</v>
      </c>
      <c r="S25" s="74">
        <v>8.5054</v>
      </c>
      <c r="T25" s="74">
        <v>40000</v>
      </c>
      <c r="U25" s="95">
        <v>40000</v>
      </c>
      <c r="V25" s="76">
        <f t="shared" si="0"/>
        <v>8.246837745392188</v>
      </c>
      <c r="W25" s="77">
        <f t="shared" si="1"/>
        <v>329873.50981568755</v>
      </c>
      <c r="X25" s="79"/>
      <c r="AA25" t="s">
        <v>69</v>
      </c>
      <c r="AB25" s="2">
        <v>0</v>
      </c>
      <c r="AC25" s="2">
        <v>2874</v>
      </c>
      <c r="AD25" s="2">
        <v>96.7739</v>
      </c>
      <c r="AE25" s="2">
        <v>290321.68</v>
      </c>
      <c r="AF25" s="2">
        <v>300000</v>
      </c>
      <c r="AG25" s="90">
        <v>9.5758</v>
      </c>
      <c r="AH25" s="76">
        <f t="shared" si="2"/>
        <v>9.249967736011477</v>
      </c>
      <c r="AI25" s="77">
        <f t="shared" si="3"/>
        <v>2685466.1730646486</v>
      </c>
      <c r="AU25" s="8"/>
      <c r="AV25" s="8"/>
      <c r="AW25" s="8"/>
      <c r="AX25" s="41"/>
      <c r="AY25" s="8"/>
    </row>
    <row r="26" spans="1:51" ht="12.75">
      <c r="A26" s="1" t="s">
        <v>25</v>
      </c>
      <c r="B26" s="1" t="s">
        <v>19</v>
      </c>
      <c r="C26" s="1" t="s">
        <v>6</v>
      </c>
      <c r="D26" s="1" t="s">
        <v>20</v>
      </c>
      <c r="E26" s="1" t="s">
        <v>21</v>
      </c>
      <c r="F26" s="1"/>
      <c r="O26" s="73">
        <v>40982</v>
      </c>
      <c r="P26" s="74" t="s">
        <v>131</v>
      </c>
      <c r="Q26" s="74">
        <v>100</v>
      </c>
      <c r="R26" s="75">
        <v>8.247</v>
      </c>
      <c r="S26" s="74">
        <v>8.5055</v>
      </c>
      <c r="T26" s="74">
        <v>40000</v>
      </c>
      <c r="U26" s="95">
        <v>40000</v>
      </c>
      <c r="V26" s="76">
        <f t="shared" si="0"/>
        <v>8.246931806769897</v>
      </c>
      <c r="W26" s="77">
        <f t="shared" si="1"/>
        <v>329877.2722707959</v>
      </c>
      <c r="X26" s="78"/>
      <c r="AA26" t="s">
        <v>69</v>
      </c>
      <c r="AB26" s="2">
        <v>0</v>
      </c>
      <c r="AC26" s="2">
        <v>2880</v>
      </c>
      <c r="AD26" s="2">
        <v>96.768</v>
      </c>
      <c r="AE26" s="2">
        <v>967679.62</v>
      </c>
      <c r="AF26" s="2">
        <v>1000000</v>
      </c>
      <c r="AG26" s="90">
        <v>9.5758</v>
      </c>
      <c r="AH26" s="76">
        <f t="shared" si="2"/>
        <v>9.249967736011477</v>
      </c>
      <c r="AI26" s="77">
        <f t="shared" si="3"/>
        <v>8951005.263795847</v>
      </c>
      <c r="AU26" s="8"/>
      <c r="AV26" s="8"/>
      <c r="AW26" s="8"/>
      <c r="AX26" s="41"/>
      <c r="AY26" s="8"/>
    </row>
    <row r="27" spans="1:51" ht="12.75">
      <c r="A27" t="str">
        <f>+A5</f>
        <v>4 TIT CARTERA COMERCIAL IIASA TRAMO I</v>
      </c>
      <c r="B27" s="12">
        <f>+E5</f>
        <v>9600000</v>
      </c>
      <c r="C27" s="14">
        <f>+B5/E5</f>
        <v>6.64051875</v>
      </c>
      <c r="D27" s="15">
        <f>+C5/E5</f>
        <v>691.4583333333334</v>
      </c>
      <c r="E27" s="16">
        <f>+D5/E5</f>
        <v>100</v>
      </c>
      <c r="F27" s="13">
        <f>+D27/360</f>
        <v>1.9207175925925928</v>
      </c>
      <c r="O27" s="73">
        <v>40983</v>
      </c>
      <c r="P27" s="74" t="s">
        <v>131</v>
      </c>
      <c r="Q27" s="74">
        <v>100</v>
      </c>
      <c r="R27" s="75">
        <v>8.2469</v>
      </c>
      <c r="S27" s="74">
        <v>8.5055</v>
      </c>
      <c r="T27" s="74">
        <v>280000</v>
      </c>
      <c r="U27" s="95">
        <v>280000</v>
      </c>
      <c r="V27" s="76">
        <f t="shared" si="0"/>
        <v>8.246931806769897</v>
      </c>
      <c r="W27" s="77">
        <f t="shared" si="1"/>
        <v>2309140.905895571</v>
      </c>
      <c r="X27" s="78"/>
      <c r="AA27" t="s">
        <v>69</v>
      </c>
      <c r="AB27" s="2">
        <v>0</v>
      </c>
      <c r="AC27" s="2">
        <v>1800</v>
      </c>
      <c r="AD27" s="2">
        <v>100</v>
      </c>
      <c r="AE27" s="2">
        <v>999999.71</v>
      </c>
      <c r="AF27" s="2">
        <v>1000000</v>
      </c>
      <c r="AG27" s="90">
        <v>7.7136</v>
      </c>
      <c r="AH27" s="76">
        <f t="shared" si="2"/>
        <v>7.500012694114311</v>
      </c>
      <c r="AI27" s="77">
        <f t="shared" si="3"/>
        <v>7500010.519110629</v>
      </c>
      <c r="AU27" s="8"/>
      <c r="AV27" s="8"/>
      <c r="AW27" s="8"/>
      <c r="AX27" s="41"/>
      <c r="AY27" s="8"/>
    </row>
    <row r="28" spans="1:51" ht="12.75">
      <c r="A28" t="str">
        <f aca="true" t="shared" si="4" ref="A28:A45">+A6</f>
        <v>FID I TITULARIZACION DE FLUJOS SANA SANA</v>
      </c>
      <c r="B28" s="12">
        <f aca="true" t="shared" si="5" ref="B28:B45">+E6</f>
        <v>12500000</v>
      </c>
      <c r="C28" s="14">
        <f aca="true" t="shared" si="6" ref="C28:C45">+B6/E6</f>
        <v>7.4495</v>
      </c>
      <c r="D28" s="15">
        <f aca="true" t="shared" si="7" ref="D28:D45">+C6/E6</f>
        <v>1800</v>
      </c>
      <c r="E28" s="16">
        <f aca="true" t="shared" si="8" ref="E28:E45">+D6/E6</f>
        <v>100</v>
      </c>
      <c r="F28" s="13">
        <f aca="true" t="shared" si="9" ref="F28:F45">+D28/360</f>
        <v>5</v>
      </c>
      <c r="O28" s="73">
        <v>40983</v>
      </c>
      <c r="P28" s="74" t="s">
        <v>131</v>
      </c>
      <c r="Q28" s="74">
        <v>100</v>
      </c>
      <c r="R28" s="75">
        <v>8.2469</v>
      </c>
      <c r="S28" s="74">
        <v>8.5054</v>
      </c>
      <c r="T28" s="74">
        <v>590000</v>
      </c>
      <c r="U28" s="95">
        <v>590000</v>
      </c>
      <c r="V28" s="76">
        <f t="shared" si="0"/>
        <v>8.246837745392188</v>
      </c>
      <c r="W28" s="77">
        <f t="shared" si="1"/>
        <v>4865634.269781391</v>
      </c>
      <c r="X28" s="78"/>
      <c r="AA28" t="s">
        <v>69</v>
      </c>
      <c r="AB28" s="2">
        <v>0</v>
      </c>
      <c r="AC28" s="2">
        <v>1800</v>
      </c>
      <c r="AD28" s="2">
        <v>100</v>
      </c>
      <c r="AE28" s="2">
        <v>999999.71</v>
      </c>
      <c r="AF28" s="2">
        <v>1000000</v>
      </c>
      <c r="AG28" s="90">
        <v>7.7136</v>
      </c>
      <c r="AH28" s="76">
        <f t="shared" si="2"/>
        <v>7.500012694114311</v>
      </c>
      <c r="AI28" s="77">
        <f t="shared" si="3"/>
        <v>7500010.519110629</v>
      </c>
      <c r="AU28" s="8"/>
      <c r="AV28" s="8"/>
      <c r="AW28" s="8"/>
      <c r="AX28" s="41"/>
      <c r="AY28" s="8"/>
    </row>
    <row r="29" spans="1:51" ht="12.75">
      <c r="A29" t="str">
        <f t="shared" si="4"/>
        <v>FID MER 14TA TIT CART COM COMANDATO</v>
      </c>
      <c r="B29" s="12">
        <f t="shared" si="5"/>
        <v>1512934.66</v>
      </c>
      <c r="C29" s="14">
        <f t="shared" si="6"/>
        <v>8.508744478765529</v>
      </c>
      <c r="D29" s="15">
        <f t="shared" si="7"/>
        <v>960.4257160253043</v>
      </c>
      <c r="E29" s="16">
        <f t="shared" si="8"/>
        <v>99.99568831049453</v>
      </c>
      <c r="F29" s="13">
        <f t="shared" si="9"/>
        <v>2.6678492111814007</v>
      </c>
      <c r="O29" s="73">
        <v>40988</v>
      </c>
      <c r="P29" s="74" t="s">
        <v>131</v>
      </c>
      <c r="Q29" s="74">
        <v>100</v>
      </c>
      <c r="R29" s="75">
        <v>8.2467</v>
      </c>
      <c r="S29" s="74">
        <v>8.5052</v>
      </c>
      <c r="T29" s="74">
        <v>200000</v>
      </c>
      <c r="U29" s="95">
        <v>200000</v>
      </c>
      <c r="V29" s="76">
        <f t="shared" si="0"/>
        <v>8.246649622441637</v>
      </c>
      <c r="W29" s="77">
        <f t="shared" si="1"/>
        <v>1649329.9244883275</v>
      </c>
      <c r="X29" s="78"/>
      <c r="AA29" t="s">
        <v>69</v>
      </c>
      <c r="AB29" s="2">
        <v>7.5912</v>
      </c>
      <c r="AC29" s="2">
        <v>1158</v>
      </c>
      <c r="AD29" s="2">
        <v>102.377726</v>
      </c>
      <c r="AE29" s="2">
        <v>484152.84</v>
      </c>
      <c r="AF29" s="2">
        <v>472908.37</v>
      </c>
      <c r="AG29" s="90">
        <v>7.81</v>
      </c>
      <c r="AH29" s="76">
        <f t="shared" si="2"/>
        <v>7.5911567656317125</v>
      </c>
      <c r="AI29" s="77">
        <f t="shared" si="3"/>
        <v>3675280.106965808</v>
      </c>
      <c r="AU29" s="8"/>
      <c r="AV29" s="8"/>
      <c r="AW29" s="8"/>
      <c r="AX29" s="41"/>
      <c r="AY29" s="8"/>
    </row>
    <row r="30" spans="1:51" ht="12.75">
      <c r="A30" t="str">
        <f t="shared" si="4"/>
        <v>FID MER 3TIT FLUJOS FUT ARTEFACTA</v>
      </c>
      <c r="B30" s="12">
        <f t="shared" si="5"/>
        <v>161730.53</v>
      </c>
      <c r="C30" s="14">
        <f t="shared" si="6"/>
        <v>2.3681</v>
      </c>
      <c r="D30" s="15">
        <f t="shared" si="7"/>
        <v>1006</v>
      </c>
      <c r="E30" s="16">
        <f t="shared" si="8"/>
        <v>107.82040000000002</v>
      </c>
      <c r="F30" s="13">
        <f t="shared" si="9"/>
        <v>2.7944444444444443</v>
      </c>
      <c r="O30" s="73">
        <v>40989</v>
      </c>
      <c r="P30" s="74" t="s">
        <v>131</v>
      </c>
      <c r="Q30" s="74">
        <v>100</v>
      </c>
      <c r="R30" s="75">
        <v>8.2467</v>
      </c>
      <c r="S30" s="74">
        <v>8.5052</v>
      </c>
      <c r="T30" s="74">
        <v>130000</v>
      </c>
      <c r="U30" s="95">
        <v>130000</v>
      </c>
      <c r="V30" s="76">
        <f t="shared" si="0"/>
        <v>8.246649622441637</v>
      </c>
      <c r="W30" s="77">
        <f t="shared" si="1"/>
        <v>1072064.4509174128</v>
      </c>
      <c r="X30" s="78"/>
      <c r="AA30" t="s">
        <v>69</v>
      </c>
      <c r="AB30" s="2">
        <v>8.4992</v>
      </c>
      <c r="AC30" s="2">
        <v>1792</v>
      </c>
      <c r="AD30" s="2">
        <v>100</v>
      </c>
      <c r="AE30" s="2">
        <v>550000.12</v>
      </c>
      <c r="AF30" s="2">
        <v>550000</v>
      </c>
      <c r="AG30" s="90">
        <v>8.7739</v>
      </c>
      <c r="AH30" s="76">
        <f t="shared" si="2"/>
        <v>8.499158611519864</v>
      </c>
      <c r="AI30" s="77">
        <f t="shared" si="3"/>
        <v>4674538.256234959</v>
      </c>
      <c r="AU30" s="8"/>
      <c r="AV30" s="8"/>
      <c r="AW30" s="8"/>
      <c r="AX30" s="41"/>
      <c r="AY30" s="8"/>
    </row>
    <row r="31" spans="1:51" ht="12.75">
      <c r="A31" t="str">
        <f t="shared" si="4"/>
        <v>FID MER I TIT CONTECON GUAYAQUIL</v>
      </c>
      <c r="B31" s="12">
        <f t="shared" si="5"/>
        <v>777352.55</v>
      </c>
      <c r="C31" s="14">
        <f t="shared" si="6"/>
        <v>3.9159448672536032</v>
      </c>
      <c r="D31" s="15">
        <f t="shared" si="7"/>
        <v>723.4833596159168</v>
      </c>
      <c r="E31" s="16">
        <f t="shared" si="8"/>
        <v>104.52782326182118</v>
      </c>
      <c r="F31" s="13">
        <f t="shared" si="9"/>
        <v>2.009675998933102</v>
      </c>
      <c r="O31" s="73">
        <v>40989</v>
      </c>
      <c r="P31" s="74" t="s">
        <v>131</v>
      </c>
      <c r="Q31" s="74">
        <v>100</v>
      </c>
      <c r="R31" s="75">
        <v>8.2466</v>
      </c>
      <c r="S31" s="74">
        <v>8.5052</v>
      </c>
      <c r="T31" s="74">
        <v>200000</v>
      </c>
      <c r="U31" s="95">
        <v>200000</v>
      </c>
      <c r="V31" s="76">
        <f t="shared" si="0"/>
        <v>8.246649622441637</v>
      </c>
      <c r="W31" s="77">
        <f t="shared" si="1"/>
        <v>1649329.9244883275</v>
      </c>
      <c r="X31" s="78"/>
      <c r="AA31" t="s">
        <v>69</v>
      </c>
      <c r="AB31" s="2">
        <v>8.4992</v>
      </c>
      <c r="AC31" s="2">
        <v>1792</v>
      </c>
      <c r="AD31" s="2">
        <v>100</v>
      </c>
      <c r="AE31" s="2">
        <v>210000.05</v>
      </c>
      <c r="AF31" s="2">
        <v>210000</v>
      </c>
      <c r="AG31" s="90">
        <v>8.7739</v>
      </c>
      <c r="AH31" s="76">
        <f t="shared" si="2"/>
        <v>8.499158611519864</v>
      </c>
      <c r="AI31" s="77">
        <f t="shared" si="3"/>
        <v>1784823.7333771018</v>
      </c>
      <c r="AU31" s="8"/>
      <c r="AV31" s="8"/>
      <c r="AW31" s="8"/>
      <c r="AX31" s="41"/>
      <c r="AY31" s="8"/>
    </row>
    <row r="32" spans="1:51" ht="12.75">
      <c r="A32" t="str">
        <f t="shared" si="4"/>
        <v>FID MER I TIT FLUJOS - TECOPESCA</v>
      </c>
      <c r="B32" s="12">
        <f t="shared" si="5"/>
        <v>137681.04</v>
      </c>
      <c r="C32" s="14">
        <f t="shared" si="6"/>
        <v>2.3517</v>
      </c>
      <c r="D32" s="15">
        <f t="shared" si="7"/>
        <v>588</v>
      </c>
      <c r="E32" s="16">
        <f t="shared" si="8"/>
        <v>105.034</v>
      </c>
      <c r="F32" s="13">
        <f t="shared" si="9"/>
        <v>1.6333333333333333</v>
      </c>
      <c r="O32" s="73">
        <v>40987</v>
      </c>
      <c r="P32" s="74" t="s">
        <v>131</v>
      </c>
      <c r="Q32" s="74">
        <v>100</v>
      </c>
      <c r="R32" s="75">
        <v>8.2467</v>
      </c>
      <c r="S32" s="74">
        <v>8.5053</v>
      </c>
      <c r="T32" s="74">
        <v>15000</v>
      </c>
      <c r="U32" s="95">
        <v>15000</v>
      </c>
      <c r="V32" s="76">
        <f t="shared" si="0"/>
        <v>8.246743683949465</v>
      </c>
      <c r="W32" s="77">
        <f t="shared" si="1"/>
        <v>123701.15525924196</v>
      </c>
      <c r="X32" s="78"/>
      <c r="AA32" t="s">
        <v>69</v>
      </c>
      <c r="AB32" s="2">
        <v>8.4992</v>
      </c>
      <c r="AC32" s="2">
        <v>1792</v>
      </c>
      <c r="AD32" s="2">
        <v>100</v>
      </c>
      <c r="AE32" s="2">
        <v>82000</v>
      </c>
      <c r="AF32" s="2">
        <v>82000</v>
      </c>
      <c r="AG32" s="90">
        <v>8.774</v>
      </c>
      <c r="AH32" s="76">
        <f t="shared" si="2"/>
        <v>8.499252498706422</v>
      </c>
      <c r="AI32" s="77">
        <f t="shared" si="3"/>
        <v>696938.7048939266</v>
      </c>
      <c r="AU32" s="8"/>
      <c r="AV32" s="8"/>
      <c r="AW32" s="8"/>
      <c r="AX32" s="41"/>
      <c r="AY32" s="8"/>
    </row>
    <row r="33" spans="1:51" ht="12.75">
      <c r="A33" t="str">
        <f t="shared" si="4"/>
        <v>FID MER II TIT FUNDACION ESPOIR</v>
      </c>
      <c r="B33" s="12">
        <f t="shared" si="5"/>
        <v>247863.7</v>
      </c>
      <c r="C33" s="14">
        <f t="shared" si="6"/>
        <v>9.835315598580994</v>
      </c>
      <c r="D33" s="15">
        <f t="shared" si="7"/>
        <v>1048.155489085332</v>
      </c>
      <c r="E33" s="16">
        <f t="shared" si="8"/>
        <v>100.08470522942649</v>
      </c>
      <c r="F33" s="13">
        <f t="shared" si="9"/>
        <v>2.9115430252370333</v>
      </c>
      <c r="O33" s="73">
        <v>40967</v>
      </c>
      <c r="P33" s="74" t="s">
        <v>131</v>
      </c>
      <c r="Q33" s="74">
        <v>100</v>
      </c>
      <c r="R33" s="75">
        <v>8.2482</v>
      </c>
      <c r="S33" s="74">
        <v>8.5068</v>
      </c>
      <c r="T33" s="74">
        <v>15000</v>
      </c>
      <c r="U33" s="95">
        <v>15000</v>
      </c>
      <c r="V33" s="76">
        <f t="shared" si="0"/>
        <v>8.248154598764135</v>
      </c>
      <c r="W33" s="77">
        <f t="shared" si="1"/>
        <v>123722.31898146203</v>
      </c>
      <c r="X33" s="78"/>
      <c r="AA33" t="s">
        <v>69</v>
      </c>
      <c r="AB33" s="2">
        <v>8</v>
      </c>
      <c r="AC33" s="2">
        <v>1288</v>
      </c>
      <c r="AD33" s="2">
        <v>99.635</v>
      </c>
      <c r="AE33" s="2">
        <v>80704.37</v>
      </c>
      <c r="AF33" s="2">
        <v>81000</v>
      </c>
      <c r="AG33" s="90">
        <v>8.2432</v>
      </c>
      <c r="AH33" s="76">
        <f t="shared" si="2"/>
        <v>7.9999849228418185</v>
      </c>
      <c r="AI33" s="77">
        <f t="shared" si="3"/>
        <v>645633.7432074476</v>
      </c>
      <c r="AU33" s="8"/>
      <c r="AV33" s="8"/>
      <c r="AW33" s="8"/>
      <c r="AX33" s="41"/>
      <c r="AY33" s="8"/>
    </row>
    <row r="34" spans="1:51" ht="12.75">
      <c r="A34" t="str">
        <f t="shared" si="4"/>
        <v>FID MER II TIT LA FABRIL</v>
      </c>
      <c r="B34" s="12">
        <f t="shared" si="5"/>
        <v>308563.87</v>
      </c>
      <c r="C34" s="14">
        <f t="shared" si="6"/>
        <v>2.6065</v>
      </c>
      <c r="D34" s="15">
        <f t="shared" si="7"/>
        <v>871</v>
      </c>
      <c r="E34" s="16">
        <f t="shared" si="8"/>
        <v>108.6492</v>
      </c>
      <c r="F34" s="13">
        <f t="shared" si="9"/>
        <v>2.4194444444444443</v>
      </c>
      <c r="O34" s="73">
        <v>40975</v>
      </c>
      <c r="P34" s="74" t="s">
        <v>131</v>
      </c>
      <c r="Q34" s="74">
        <v>99.9959</v>
      </c>
      <c r="R34" s="75">
        <v>8.25</v>
      </c>
      <c r="S34" s="74">
        <v>8.5088</v>
      </c>
      <c r="T34" s="74">
        <v>1879922.72</v>
      </c>
      <c r="U34" s="95">
        <v>1879922.72</v>
      </c>
      <c r="V34" s="76">
        <f t="shared" si="0"/>
        <v>8.250035795761956</v>
      </c>
      <c r="W34" s="77">
        <f t="shared" si="1"/>
        <v>15509429.73326618</v>
      </c>
      <c r="X34" s="78"/>
      <c r="AA34" t="s">
        <v>69</v>
      </c>
      <c r="AB34" s="2">
        <v>7.75</v>
      </c>
      <c r="AC34" s="2">
        <v>1288</v>
      </c>
      <c r="AD34" s="2">
        <v>99.996</v>
      </c>
      <c r="AE34" s="2">
        <v>79996.81</v>
      </c>
      <c r="AF34" s="2">
        <v>80000</v>
      </c>
      <c r="AG34" s="90">
        <v>7.9782</v>
      </c>
      <c r="AH34" s="76">
        <f t="shared" si="2"/>
        <v>7.750039891905658</v>
      </c>
      <c r="AI34" s="77">
        <f t="shared" si="3"/>
        <v>619978.4687251975</v>
      </c>
      <c r="AU34" s="8"/>
      <c r="AV34" s="8"/>
      <c r="AW34" s="8"/>
      <c r="AX34" s="41"/>
      <c r="AY34" s="8"/>
    </row>
    <row r="35" spans="1:51" ht="12.75">
      <c r="A35" t="str">
        <f t="shared" si="4"/>
        <v>FID MER TERCERA TIT DE PRATI</v>
      </c>
      <c r="B35" s="12">
        <f t="shared" si="5"/>
        <v>954261.14</v>
      </c>
      <c r="C35" s="14">
        <f t="shared" si="6"/>
        <v>1.9373208277327523</v>
      </c>
      <c r="D35" s="15">
        <f t="shared" si="7"/>
        <v>367.3260603486379</v>
      </c>
      <c r="E35" s="16">
        <f t="shared" si="8"/>
        <v>104.46223956356329</v>
      </c>
      <c r="F35" s="13">
        <f t="shared" si="9"/>
        <v>1.0203501676351052</v>
      </c>
      <c r="I35" s="12"/>
      <c r="O35" s="73">
        <v>40975</v>
      </c>
      <c r="P35" s="74" t="s">
        <v>131</v>
      </c>
      <c r="Q35" s="74">
        <v>99.9959</v>
      </c>
      <c r="R35" s="75">
        <v>8.25</v>
      </c>
      <c r="S35" s="74">
        <v>8.5088</v>
      </c>
      <c r="T35" s="74">
        <v>99995.9</v>
      </c>
      <c r="U35" s="95">
        <v>99995.9</v>
      </c>
      <c r="V35" s="76">
        <f t="shared" si="0"/>
        <v>8.250035795761956</v>
      </c>
      <c r="W35" s="77">
        <f t="shared" si="1"/>
        <v>824969.7544294329</v>
      </c>
      <c r="X35" s="78"/>
      <c r="AA35" t="s">
        <v>69</v>
      </c>
      <c r="AB35" s="2">
        <v>0</v>
      </c>
      <c r="AC35" s="2">
        <v>1061</v>
      </c>
      <c r="AD35" s="2">
        <v>100</v>
      </c>
      <c r="AE35" s="2">
        <v>1000000</v>
      </c>
      <c r="AF35" s="2">
        <v>1000000</v>
      </c>
      <c r="AG35" s="90">
        <v>6.3967</v>
      </c>
      <c r="AH35" s="76">
        <f t="shared" si="2"/>
        <v>6.248743598359052</v>
      </c>
      <c r="AI35" s="77">
        <f t="shared" si="3"/>
        <v>6248743.598359052</v>
      </c>
      <c r="AU35" s="8"/>
      <c r="AV35" s="8"/>
      <c r="AW35" s="8"/>
      <c r="AX35" s="41"/>
      <c r="AY35" s="8"/>
    </row>
    <row r="36" spans="1:51" ht="12.75">
      <c r="A36" t="str">
        <f t="shared" si="4"/>
        <v>FID MERC 3 TIT DE FLUJOS AGRIPAC</v>
      </c>
      <c r="B36" s="12">
        <f t="shared" si="5"/>
        <v>51671.95</v>
      </c>
      <c r="C36" s="14">
        <f t="shared" si="6"/>
        <v>2.7277158219111146</v>
      </c>
      <c r="D36" s="15">
        <f t="shared" si="7"/>
        <v>913.4583293256785</v>
      </c>
      <c r="E36" s="16">
        <f t="shared" si="8"/>
        <v>107.50034563533988</v>
      </c>
      <c r="F36" s="13">
        <f t="shared" si="9"/>
        <v>2.5373842481268847</v>
      </c>
      <c r="O36" s="73">
        <v>40975</v>
      </c>
      <c r="P36" s="74" t="s">
        <v>131</v>
      </c>
      <c r="Q36" s="74">
        <v>100</v>
      </c>
      <c r="R36" s="75">
        <v>8.2474</v>
      </c>
      <c r="S36" s="74">
        <v>8.506</v>
      </c>
      <c r="T36" s="74">
        <v>100000</v>
      </c>
      <c r="U36" s="95">
        <v>100000</v>
      </c>
      <c r="V36" s="76">
        <f t="shared" si="0"/>
        <v>8.2474021126834</v>
      </c>
      <c r="W36" s="77">
        <f t="shared" si="1"/>
        <v>824740.21126834</v>
      </c>
      <c r="X36" s="78"/>
      <c r="AA36" t="s">
        <v>69</v>
      </c>
      <c r="AB36" s="2">
        <v>0</v>
      </c>
      <c r="AC36" s="2">
        <v>2880</v>
      </c>
      <c r="AD36" s="2">
        <v>96.768</v>
      </c>
      <c r="AE36" s="2">
        <v>967679.62</v>
      </c>
      <c r="AF36" s="2">
        <v>1000000</v>
      </c>
      <c r="AG36" s="90">
        <v>9.5758</v>
      </c>
      <c r="AH36" s="76">
        <f t="shared" si="2"/>
        <v>9.249967736011477</v>
      </c>
      <c r="AI36" s="77">
        <f t="shared" si="3"/>
        <v>8951005.263795847</v>
      </c>
      <c r="AU36" s="8"/>
      <c r="AV36" s="8"/>
      <c r="AW36" s="8"/>
      <c r="AX36" s="41"/>
      <c r="AY36" s="8"/>
    </row>
    <row r="37" spans="1:51" ht="12.75">
      <c r="A37" t="str">
        <f t="shared" si="4"/>
        <v>FID MERC II TIT DE FLUJOS AGRIPAC</v>
      </c>
      <c r="B37" s="12">
        <f t="shared" si="5"/>
        <v>110583.09</v>
      </c>
      <c r="C37" s="14">
        <f t="shared" si="6"/>
        <v>2.2061</v>
      </c>
      <c r="D37" s="15">
        <f t="shared" si="7"/>
        <v>578</v>
      </c>
      <c r="E37" s="16">
        <f t="shared" si="8"/>
        <v>105.3172</v>
      </c>
      <c r="F37" s="13">
        <f t="shared" si="9"/>
        <v>1.6055555555555556</v>
      </c>
      <c r="O37" s="73">
        <v>40966</v>
      </c>
      <c r="P37" s="74" t="s">
        <v>131</v>
      </c>
      <c r="Q37" s="74">
        <v>100</v>
      </c>
      <c r="R37" s="75">
        <v>8.2483</v>
      </c>
      <c r="S37" s="74">
        <v>8.5069</v>
      </c>
      <c r="T37" s="74">
        <v>200000</v>
      </c>
      <c r="U37" s="95">
        <v>200000</v>
      </c>
      <c r="V37" s="76">
        <f t="shared" si="0"/>
        <v>8.248248659231638</v>
      </c>
      <c r="W37" s="77">
        <f t="shared" si="1"/>
        <v>1649649.7318463277</v>
      </c>
      <c r="X37" s="78"/>
      <c r="AA37" t="s">
        <v>69</v>
      </c>
      <c r="AB37" s="2">
        <v>0</v>
      </c>
      <c r="AC37" s="2">
        <v>2880</v>
      </c>
      <c r="AD37" s="2">
        <v>96.768</v>
      </c>
      <c r="AE37" s="2">
        <v>967679.62</v>
      </c>
      <c r="AF37" s="2">
        <v>1000000</v>
      </c>
      <c r="AG37" s="90">
        <v>9.5758</v>
      </c>
      <c r="AH37" s="76">
        <f t="shared" si="2"/>
        <v>9.249967736011477</v>
      </c>
      <c r="AI37" s="77">
        <f t="shared" si="3"/>
        <v>8951005.263795847</v>
      </c>
      <c r="AT37" s="11"/>
      <c r="AU37" s="12"/>
      <c r="AV37" s="12"/>
      <c r="AW37" s="12"/>
      <c r="AX37" s="12"/>
      <c r="AY37" s="42"/>
    </row>
    <row r="38" spans="1:35" ht="12.75">
      <c r="A38" t="str">
        <f t="shared" si="4"/>
        <v>FID PRI TIT ENVASES DEL LITORAL</v>
      </c>
      <c r="B38" s="12">
        <f t="shared" si="5"/>
        <v>125597.76</v>
      </c>
      <c r="C38" s="14">
        <f t="shared" si="6"/>
        <v>8.2432</v>
      </c>
      <c r="D38" s="15">
        <f t="shared" si="7"/>
        <v>1431</v>
      </c>
      <c r="E38" s="16">
        <f t="shared" si="8"/>
        <v>99.9982</v>
      </c>
      <c r="F38" s="13">
        <f t="shared" si="9"/>
        <v>3.975</v>
      </c>
      <c r="O38" s="73">
        <v>40970</v>
      </c>
      <c r="P38" s="74" t="s">
        <v>131</v>
      </c>
      <c r="Q38" s="74">
        <v>100</v>
      </c>
      <c r="R38" s="75">
        <v>8.2475</v>
      </c>
      <c r="S38" s="74">
        <v>8.5062</v>
      </c>
      <c r="T38" s="74">
        <v>65000</v>
      </c>
      <c r="U38" s="95">
        <v>65000</v>
      </c>
      <c r="V38" s="76">
        <f t="shared" si="0"/>
        <v>8.247590234593627</v>
      </c>
      <c r="W38" s="77">
        <f t="shared" si="1"/>
        <v>536093.3652485857</v>
      </c>
      <c r="X38" s="78"/>
      <c r="AA38" t="s">
        <v>69</v>
      </c>
      <c r="AB38" s="2">
        <v>0</v>
      </c>
      <c r="AC38" s="2">
        <v>2880</v>
      </c>
      <c r="AD38" s="2">
        <v>96.768</v>
      </c>
      <c r="AE38" s="2">
        <v>967679.62</v>
      </c>
      <c r="AF38" s="2">
        <v>1000000</v>
      </c>
      <c r="AG38" s="90">
        <v>9.5758</v>
      </c>
      <c r="AH38" s="76">
        <f t="shared" si="2"/>
        <v>9.249967736011477</v>
      </c>
      <c r="AI38" s="77">
        <f t="shared" si="3"/>
        <v>8951005.263795847</v>
      </c>
    </row>
    <row r="39" spans="1:35" ht="12.75">
      <c r="A39" t="str">
        <f t="shared" si="4"/>
        <v>FID PRIMERA TIT FLUJOS NOPERTI</v>
      </c>
      <c r="B39" s="12">
        <f t="shared" si="5"/>
        <v>246951.82</v>
      </c>
      <c r="C39" s="14">
        <f t="shared" si="6"/>
        <v>9.308299999999997</v>
      </c>
      <c r="D39" s="15">
        <f t="shared" si="7"/>
        <v>1695.5997761020749</v>
      </c>
      <c r="E39" s="16">
        <f t="shared" si="8"/>
        <v>98.78076020150813</v>
      </c>
      <c r="F39" s="13">
        <f t="shared" si="9"/>
        <v>4.709999378061319</v>
      </c>
      <c r="O39" s="73">
        <v>40970</v>
      </c>
      <c r="P39" s="74" t="s">
        <v>131</v>
      </c>
      <c r="Q39" s="74">
        <v>100</v>
      </c>
      <c r="R39" s="75">
        <v>8.2475</v>
      </c>
      <c r="S39" s="74">
        <v>8.5062</v>
      </c>
      <c r="T39" s="74">
        <v>20000</v>
      </c>
      <c r="U39" s="95">
        <v>20000</v>
      </c>
      <c r="V39" s="76">
        <f t="shared" si="0"/>
        <v>8.247590234593627</v>
      </c>
      <c r="W39" s="77">
        <f t="shared" si="1"/>
        <v>164951.80469187253</v>
      </c>
      <c r="X39" s="78"/>
      <c r="AA39" t="s">
        <v>69</v>
      </c>
      <c r="AB39" s="2">
        <v>0</v>
      </c>
      <c r="AC39" s="2">
        <v>2880</v>
      </c>
      <c r="AD39" s="2">
        <v>96.768</v>
      </c>
      <c r="AE39" s="2">
        <v>967679.62</v>
      </c>
      <c r="AF39" s="2">
        <v>1000000</v>
      </c>
      <c r="AG39" s="90">
        <v>9.5758</v>
      </c>
      <c r="AH39" s="76">
        <f t="shared" si="2"/>
        <v>9.249967736011477</v>
      </c>
      <c r="AI39" s="77">
        <f t="shared" si="3"/>
        <v>8951005.263795847</v>
      </c>
    </row>
    <row r="40" spans="1:35" ht="12.75">
      <c r="A40" t="str">
        <f t="shared" si="4"/>
        <v>FID TIT DE CARTERA MARCIMEX</v>
      </c>
      <c r="B40" s="12">
        <f t="shared" si="5"/>
        <v>2616645.98</v>
      </c>
      <c r="C40" s="14">
        <f t="shared" si="6"/>
        <v>8.411171022201483</v>
      </c>
      <c r="D40" s="15">
        <f t="shared" si="7"/>
        <v>934.4216541704278</v>
      </c>
      <c r="E40" s="16">
        <f t="shared" si="8"/>
        <v>100.10140793138818</v>
      </c>
      <c r="F40" s="13">
        <f t="shared" si="9"/>
        <v>2.595615706028966</v>
      </c>
      <c r="O40" s="73">
        <v>40956</v>
      </c>
      <c r="P40" s="74" t="s">
        <v>131</v>
      </c>
      <c r="Q40" s="74">
        <v>100</v>
      </c>
      <c r="R40" s="75">
        <v>8.2495</v>
      </c>
      <c r="S40" s="74">
        <v>8.5082</v>
      </c>
      <c r="T40" s="74">
        <v>10000</v>
      </c>
      <c r="U40" s="95">
        <v>10000</v>
      </c>
      <c r="V40" s="76">
        <f t="shared" si="0"/>
        <v>8.249471439393208</v>
      </c>
      <c r="W40" s="77">
        <f t="shared" si="1"/>
        <v>82494.71439393208</v>
      </c>
      <c r="X40" s="78"/>
      <c r="AA40" t="s">
        <v>69</v>
      </c>
      <c r="AB40" s="2">
        <v>6.55</v>
      </c>
      <c r="AC40" s="2">
        <v>301</v>
      </c>
      <c r="AD40" s="2">
        <v>100.6769</v>
      </c>
      <c r="AE40" s="2">
        <v>13369.89</v>
      </c>
      <c r="AF40" s="2">
        <v>13280</v>
      </c>
      <c r="AG40" s="90">
        <v>6.7126</v>
      </c>
      <c r="AH40" s="76">
        <f t="shared" si="2"/>
        <v>6.549954391371404</v>
      </c>
      <c r="AI40" s="77">
        <f t="shared" si="3"/>
        <v>87572.16971765262</v>
      </c>
    </row>
    <row r="41" spans="1:35" ht="12.75">
      <c r="A41" t="str">
        <f t="shared" si="4"/>
        <v>FID TIT GRUPO ANHALZER - CERO UNO</v>
      </c>
      <c r="B41" s="12">
        <f t="shared" si="5"/>
        <v>51083.96</v>
      </c>
      <c r="C41" s="14">
        <f t="shared" si="6"/>
        <v>2.109</v>
      </c>
      <c r="D41" s="15">
        <f t="shared" si="7"/>
        <v>691</v>
      </c>
      <c r="E41" s="16">
        <f t="shared" si="8"/>
        <v>105.68160000000002</v>
      </c>
      <c r="F41" s="13">
        <f t="shared" si="9"/>
        <v>1.9194444444444445</v>
      </c>
      <c r="O41" s="73">
        <v>40956</v>
      </c>
      <c r="P41" s="74" t="s">
        <v>131</v>
      </c>
      <c r="Q41" s="74">
        <v>99.9999</v>
      </c>
      <c r="R41" s="75">
        <v>8.2495</v>
      </c>
      <c r="S41" s="74">
        <v>8.5082</v>
      </c>
      <c r="T41" s="74">
        <v>1499998.83</v>
      </c>
      <c r="U41" s="95">
        <v>1499998.83</v>
      </c>
      <c r="V41" s="76">
        <f t="shared" si="0"/>
        <v>8.249471439393208</v>
      </c>
      <c r="W41" s="77">
        <f t="shared" si="1"/>
        <v>12374197.507208228</v>
      </c>
      <c r="X41" s="78"/>
      <c r="AA41" t="s">
        <v>69</v>
      </c>
      <c r="AB41" s="2">
        <v>6.55</v>
      </c>
      <c r="AC41" s="2">
        <v>301</v>
      </c>
      <c r="AD41" s="2">
        <v>100.6769</v>
      </c>
      <c r="AE41" s="2">
        <v>6684.95</v>
      </c>
      <c r="AF41" s="2">
        <v>6640</v>
      </c>
      <c r="AG41" s="90">
        <v>6.7126</v>
      </c>
      <c r="AH41" s="76">
        <f t="shared" si="2"/>
        <v>6.549954391371404</v>
      </c>
      <c r="AI41" s="77">
        <f t="shared" si="3"/>
        <v>43786.117608598266</v>
      </c>
    </row>
    <row r="42" spans="1:35" ht="12.75">
      <c r="A42" t="str">
        <f t="shared" si="4"/>
        <v>FIDEI MERC IRREV PACIFICARD MASTERCARD</v>
      </c>
      <c r="B42" s="12">
        <f t="shared" si="5"/>
        <v>1585595.55</v>
      </c>
      <c r="C42" s="14">
        <f t="shared" si="6"/>
        <v>6.993801287467664</v>
      </c>
      <c r="D42" s="15">
        <f t="shared" si="7"/>
        <v>248.05312270837285</v>
      </c>
      <c r="E42" s="16">
        <f t="shared" si="8"/>
        <v>100.0881304157608</v>
      </c>
      <c r="F42" s="13">
        <f t="shared" si="9"/>
        <v>0.6890364519677024</v>
      </c>
      <c r="O42" s="73">
        <v>40961</v>
      </c>
      <c r="P42" s="74" t="s">
        <v>131</v>
      </c>
      <c r="Q42" s="74">
        <v>100</v>
      </c>
      <c r="R42" s="75">
        <v>8.2488</v>
      </c>
      <c r="S42" s="74">
        <v>8.5075</v>
      </c>
      <c r="T42" s="74">
        <v>200000</v>
      </c>
      <c r="U42" s="95">
        <v>200000</v>
      </c>
      <c r="V42" s="76">
        <f t="shared" si="0"/>
        <v>8.24881302067153</v>
      </c>
      <c r="W42" s="77">
        <f t="shared" si="1"/>
        <v>1649762.604134306</v>
      </c>
      <c r="X42" s="78"/>
      <c r="AA42" t="s">
        <v>69</v>
      </c>
      <c r="AB42" s="2">
        <v>6.55</v>
      </c>
      <c r="AC42" s="2">
        <v>301</v>
      </c>
      <c r="AD42" s="2">
        <v>100.6769</v>
      </c>
      <c r="AE42" s="2">
        <v>3342.47</v>
      </c>
      <c r="AF42" s="2">
        <v>3320</v>
      </c>
      <c r="AG42" s="90">
        <v>6.7126</v>
      </c>
      <c r="AH42" s="76">
        <f t="shared" si="2"/>
        <v>6.549954391371404</v>
      </c>
      <c r="AI42" s="77">
        <f t="shared" si="3"/>
        <v>21893.026054527178</v>
      </c>
    </row>
    <row r="43" spans="1:35" ht="12.75">
      <c r="A43" t="str">
        <f t="shared" si="4"/>
        <v>FIDEI MERCAN  FLUJOS NESTLE ECUADOR</v>
      </c>
      <c r="B43" s="12">
        <f t="shared" si="5"/>
        <v>128728.29</v>
      </c>
      <c r="C43" s="14">
        <f t="shared" si="6"/>
        <v>3.7451</v>
      </c>
      <c r="D43" s="15">
        <f t="shared" si="7"/>
        <v>1292.0000000000002</v>
      </c>
      <c r="E43" s="16">
        <f t="shared" si="8"/>
        <v>108.3745</v>
      </c>
      <c r="F43" s="13">
        <f t="shared" si="9"/>
        <v>3.5888888888888895</v>
      </c>
      <c r="O43" s="73">
        <v>40962</v>
      </c>
      <c r="P43" s="74" t="s">
        <v>131</v>
      </c>
      <c r="Q43" s="74">
        <v>100</v>
      </c>
      <c r="R43" s="75">
        <v>8.2487</v>
      </c>
      <c r="S43" s="74">
        <v>8.5074</v>
      </c>
      <c r="T43" s="74">
        <v>750000.17</v>
      </c>
      <c r="U43" s="95">
        <v>750000.17</v>
      </c>
      <c r="V43" s="76">
        <f t="shared" si="0"/>
        <v>8.248718960594115</v>
      </c>
      <c r="W43" s="77">
        <f t="shared" si="1"/>
        <v>6186540.6227278095</v>
      </c>
      <c r="X43" s="78"/>
      <c r="AA43" t="s">
        <v>69</v>
      </c>
      <c r="AB43" s="2">
        <v>5.3901</v>
      </c>
      <c r="AC43" s="2">
        <v>1027</v>
      </c>
      <c r="AD43" s="2">
        <v>102.6298</v>
      </c>
      <c r="AE43" s="2">
        <v>153944.68</v>
      </c>
      <c r="AF43" s="2">
        <v>150000</v>
      </c>
      <c r="AG43" s="90">
        <v>5.5</v>
      </c>
      <c r="AH43" s="76">
        <f t="shared" si="2"/>
        <v>5.390069776496986</v>
      </c>
      <c r="AI43" s="77">
        <f t="shared" si="3"/>
        <v>829772.5669205</v>
      </c>
    </row>
    <row r="44" spans="1:35" ht="12.75">
      <c r="A44" t="str">
        <f t="shared" si="4"/>
        <v>I TIT DE FLUJOS NOVACERO</v>
      </c>
      <c r="B44" s="12">
        <f t="shared" si="5"/>
        <v>191314.82</v>
      </c>
      <c r="C44" s="14">
        <f t="shared" si="6"/>
        <v>1.8102</v>
      </c>
      <c r="D44" s="15">
        <f t="shared" si="7"/>
        <v>472</v>
      </c>
      <c r="E44" s="16">
        <f t="shared" si="8"/>
        <v>104.8875</v>
      </c>
      <c r="F44" s="13">
        <f t="shared" si="9"/>
        <v>1.3111111111111111</v>
      </c>
      <c r="O44" s="73">
        <v>40962</v>
      </c>
      <c r="P44" s="74" t="s">
        <v>131</v>
      </c>
      <c r="Q44" s="74">
        <v>100</v>
      </c>
      <c r="R44" s="75">
        <v>8.2487</v>
      </c>
      <c r="S44" s="74">
        <v>8.5074</v>
      </c>
      <c r="T44" s="74">
        <v>10000</v>
      </c>
      <c r="U44" s="95">
        <v>10000</v>
      </c>
      <c r="V44" s="76">
        <f t="shared" si="0"/>
        <v>8.248718960594115</v>
      </c>
      <c r="W44" s="77">
        <f t="shared" si="1"/>
        <v>82487.18960594115</v>
      </c>
      <c r="X44" s="78"/>
      <c r="AA44" t="s">
        <v>69</v>
      </c>
      <c r="AB44" s="2">
        <v>8.25</v>
      </c>
      <c r="AC44" s="2">
        <v>1080</v>
      </c>
      <c r="AD44" s="2">
        <v>100</v>
      </c>
      <c r="AE44" s="2">
        <v>4120000</v>
      </c>
      <c r="AF44" s="2">
        <v>4120000</v>
      </c>
      <c r="AG44" s="90">
        <v>8.5088</v>
      </c>
      <c r="AH44" s="76">
        <f t="shared" si="2"/>
        <v>8.250035795761956</v>
      </c>
      <c r="AI44" s="77">
        <f t="shared" si="3"/>
        <v>33990147.47853926</v>
      </c>
    </row>
    <row r="45" spans="1:35" ht="12.75">
      <c r="A45" t="str">
        <f t="shared" si="4"/>
        <v>TOTAL</v>
      </c>
      <c r="B45" s="12">
        <f t="shared" si="5"/>
        <v>31308560.710000005</v>
      </c>
      <c r="C45" s="14">
        <f t="shared" si="6"/>
        <v>6.909804590233301</v>
      </c>
      <c r="D45" s="15">
        <f t="shared" si="7"/>
        <v>1153.5523047651461</v>
      </c>
      <c r="E45" s="16">
        <f t="shared" si="8"/>
        <v>100.50470816702664</v>
      </c>
      <c r="F45" s="13">
        <f t="shared" si="9"/>
        <v>3.2043119576809613</v>
      </c>
      <c r="O45" s="73"/>
      <c r="P45" s="74"/>
      <c r="Q45" s="74"/>
      <c r="R45" s="75"/>
      <c r="S45" s="74"/>
      <c r="T45" s="74"/>
      <c r="U45" s="95"/>
      <c r="V45" s="76"/>
      <c r="W45" s="77"/>
      <c r="X45" s="78"/>
      <c r="AB45" s="2"/>
      <c r="AC45" s="2"/>
      <c r="AD45" s="2"/>
      <c r="AE45" s="2"/>
      <c r="AF45" s="2"/>
      <c r="AG45" s="90"/>
      <c r="AH45" s="76"/>
      <c r="AI45" s="77"/>
    </row>
    <row r="46" spans="2:35" ht="12.75">
      <c r="B46" s="12"/>
      <c r="C46" s="14"/>
      <c r="D46" s="15"/>
      <c r="E46" s="16"/>
      <c r="F46" s="13"/>
      <c r="O46" s="73"/>
      <c r="P46" s="74"/>
      <c r="Q46" s="74"/>
      <c r="R46" s="75"/>
      <c r="S46" s="74"/>
      <c r="T46" s="74"/>
      <c r="U46" s="95"/>
      <c r="V46" s="76"/>
      <c r="W46" s="77"/>
      <c r="X46" s="78"/>
      <c r="AB46" s="2"/>
      <c r="AC46" s="2"/>
      <c r="AD46" s="2"/>
      <c r="AE46" s="2"/>
      <c r="AF46" s="2"/>
      <c r="AG46" s="90"/>
      <c r="AH46" s="76"/>
      <c r="AI46" s="77"/>
    </row>
    <row r="47" spans="2:35" ht="12.75">
      <c r="B47" s="12"/>
      <c r="C47" s="14"/>
      <c r="D47" s="15"/>
      <c r="E47" s="16"/>
      <c r="F47" s="13"/>
      <c r="O47" s="73"/>
      <c r="P47" s="74"/>
      <c r="Q47" s="74"/>
      <c r="R47" s="75"/>
      <c r="S47" s="74"/>
      <c r="T47" s="74"/>
      <c r="U47" s="95"/>
      <c r="V47" s="76"/>
      <c r="W47" s="77"/>
      <c r="X47" s="78"/>
      <c r="AB47" s="2"/>
      <c r="AC47" s="2"/>
      <c r="AD47" s="2"/>
      <c r="AE47" s="2"/>
      <c r="AF47" s="2"/>
      <c r="AG47" s="90"/>
      <c r="AH47" s="76"/>
      <c r="AI47" s="77"/>
    </row>
    <row r="48" spans="2:35" ht="12.75">
      <c r="B48" s="12"/>
      <c r="C48" s="14"/>
      <c r="D48" s="15"/>
      <c r="E48" s="16"/>
      <c r="F48" s="13"/>
      <c r="O48" s="73"/>
      <c r="P48" s="74"/>
      <c r="Q48" s="74"/>
      <c r="R48" s="75"/>
      <c r="S48" s="74"/>
      <c r="T48" s="74"/>
      <c r="U48" s="95"/>
      <c r="V48" s="76"/>
      <c r="W48" s="77"/>
      <c r="X48" s="78"/>
      <c r="AB48" s="2"/>
      <c r="AC48" s="2"/>
      <c r="AD48" s="2"/>
      <c r="AE48" s="2"/>
      <c r="AF48" s="2"/>
      <c r="AG48" s="90"/>
      <c r="AH48" s="76"/>
      <c r="AI48" s="77"/>
    </row>
    <row r="49" spans="2:35" ht="12.75">
      <c r="B49" s="12"/>
      <c r="C49" s="14"/>
      <c r="D49" s="15"/>
      <c r="E49" s="16"/>
      <c r="F49" s="13"/>
      <c r="O49" s="73"/>
      <c r="P49" s="74"/>
      <c r="Q49" s="74"/>
      <c r="R49" s="75"/>
      <c r="S49" s="74"/>
      <c r="T49" s="74"/>
      <c r="U49" s="95"/>
      <c r="V49" s="76"/>
      <c r="W49" s="77"/>
      <c r="X49" s="78"/>
      <c r="AB49" s="2"/>
      <c r="AC49" s="2"/>
      <c r="AD49" s="2"/>
      <c r="AE49" s="2"/>
      <c r="AF49" s="2"/>
      <c r="AG49" s="90"/>
      <c r="AH49" s="76"/>
      <c r="AI49" s="77"/>
    </row>
    <row r="50" spans="2:35" ht="12.75">
      <c r="B50" s="12"/>
      <c r="C50" s="14"/>
      <c r="D50" s="15"/>
      <c r="E50" s="16"/>
      <c r="F50" s="13"/>
      <c r="O50" s="73">
        <v>40952</v>
      </c>
      <c r="P50" s="74" t="s">
        <v>131</v>
      </c>
      <c r="Q50" s="74">
        <v>100</v>
      </c>
      <c r="R50" s="75">
        <v>8.25</v>
      </c>
      <c r="S50" s="74">
        <v>8.5088</v>
      </c>
      <c r="T50" s="74">
        <v>4120000</v>
      </c>
      <c r="U50" s="95">
        <v>4120000</v>
      </c>
      <c r="V50" s="76">
        <f t="shared" si="0"/>
        <v>8.250035795761956</v>
      </c>
      <c r="W50" s="77">
        <f t="shared" si="1"/>
        <v>33990147.47853926</v>
      </c>
      <c r="X50" s="78"/>
      <c r="AA50" t="s">
        <v>69</v>
      </c>
      <c r="AB50" s="2">
        <v>8.25</v>
      </c>
      <c r="AC50" s="2">
        <v>1080</v>
      </c>
      <c r="AD50" s="2">
        <v>100</v>
      </c>
      <c r="AE50" s="2">
        <v>40000</v>
      </c>
      <c r="AF50" s="2">
        <v>40000</v>
      </c>
      <c r="AG50" s="90">
        <v>8.5088</v>
      </c>
      <c r="AH50" s="76">
        <f t="shared" si="2"/>
        <v>8.250035795761956</v>
      </c>
      <c r="AI50" s="77">
        <f t="shared" si="3"/>
        <v>330001.43183047825</v>
      </c>
    </row>
    <row r="51" spans="2:35" ht="12.75">
      <c r="B51" s="12"/>
      <c r="C51" s="14"/>
      <c r="D51" s="15"/>
      <c r="E51" s="16"/>
      <c r="F51" s="13"/>
      <c r="O51" s="73">
        <v>40952</v>
      </c>
      <c r="P51" s="74" t="s">
        <v>131</v>
      </c>
      <c r="Q51" s="74">
        <v>100</v>
      </c>
      <c r="R51" s="75">
        <v>8.25</v>
      </c>
      <c r="S51" s="74">
        <v>8.5088</v>
      </c>
      <c r="T51" s="74">
        <v>40000</v>
      </c>
      <c r="U51" s="95">
        <v>40000</v>
      </c>
      <c r="V51" s="76">
        <f t="shared" si="0"/>
        <v>8.250035795761956</v>
      </c>
      <c r="W51" s="77">
        <f t="shared" si="1"/>
        <v>330001.43183047825</v>
      </c>
      <c r="X51" s="78"/>
      <c r="AA51" t="s">
        <v>69</v>
      </c>
      <c r="AB51" s="2">
        <v>8.2499</v>
      </c>
      <c r="AC51" s="2">
        <v>1079</v>
      </c>
      <c r="AD51" s="2">
        <v>100</v>
      </c>
      <c r="AE51" s="2">
        <v>80000</v>
      </c>
      <c r="AF51" s="2">
        <v>80000</v>
      </c>
      <c r="AG51" s="90">
        <v>8.5086</v>
      </c>
      <c r="AH51" s="76">
        <f t="shared" si="2"/>
        <v>8.249847677232403</v>
      </c>
      <c r="AI51" s="77">
        <f t="shared" si="3"/>
        <v>659987.8141785922</v>
      </c>
    </row>
    <row r="52" spans="2:35" ht="12.75">
      <c r="B52" s="12"/>
      <c r="C52" s="14"/>
      <c r="D52" s="15"/>
      <c r="E52" s="16"/>
      <c r="F52" s="13"/>
      <c r="O52" s="73">
        <v>40953</v>
      </c>
      <c r="P52" s="74" t="s">
        <v>131</v>
      </c>
      <c r="Q52" s="74">
        <v>100</v>
      </c>
      <c r="R52" s="75">
        <v>8.2499</v>
      </c>
      <c r="S52" s="74">
        <v>8.5086</v>
      </c>
      <c r="T52" s="74">
        <v>80000</v>
      </c>
      <c r="U52" s="95">
        <v>80000</v>
      </c>
      <c r="V52" s="76">
        <f t="shared" si="0"/>
        <v>8.249847677232403</v>
      </c>
      <c r="W52" s="77">
        <f t="shared" si="1"/>
        <v>659987.8141785922</v>
      </c>
      <c r="X52" s="78"/>
      <c r="AA52" t="s">
        <v>69</v>
      </c>
      <c r="AB52" s="2">
        <v>8.4985</v>
      </c>
      <c r="AC52" s="2">
        <v>1783</v>
      </c>
      <c r="AD52" s="2">
        <v>100</v>
      </c>
      <c r="AE52" s="2">
        <v>150000</v>
      </c>
      <c r="AF52" s="2">
        <v>150000</v>
      </c>
      <c r="AG52" s="90">
        <v>8.7732</v>
      </c>
      <c r="AH52" s="76">
        <f t="shared" si="2"/>
        <v>8.498501399401182</v>
      </c>
      <c r="AI52" s="77">
        <f t="shared" si="3"/>
        <v>1274775.2099101772</v>
      </c>
    </row>
    <row r="53" spans="2:35" ht="12.75">
      <c r="B53" s="12"/>
      <c r="C53" s="14"/>
      <c r="D53" s="15"/>
      <c r="E53" s="16"/>
      <c r="F53" s="13"/>
      <c r="O53" s="73">
        <v>40953</v>
      </c>
      <c r="P53" s="74" t="s">
        <v>131</v>
      </c>
      <c r="Q53" s="74">
        <v>99.9998</v>
      </c>
      <c r="R53" s="75">
        <v>8.25</v>
      </c>
      <c r="S53" s="74">
        <v>8.5088</v>
      </c>
      <c r="T53" s="74">
        <v>1999995.39</v>
      </c>
      <c r="U53" s="95">
        <v>1999995.39</v>
      </c>
      <c r="V53" s="76">
        <f t="shared" si="0"/>
        <v>8.250035795761956</v>
      </c>
      <c r="W53" s="77">
        <f t="shared" si="1"/>
        <v>16500033.558858894</v>
      </c>
      <c r="X53" s="78"/>
      <c r="AA53" t="s">
        <v>69</v>
      </c>
      <c r="AB53" s="2">
        <v>8.2482</v>
      </c>
      <c r="AC53" s="2">
        <v>1065</v>
      </c>
      <c r="AD53" s="2">
        <v>100</v>
      </c>
      <c r="AE53" s="2">
        <v>15000</v>
      </c>
      <c r="AF53" s="2">
        <v>15000</v>
      </c>
      <c r="AG53" s="90">
        <v>8.5068</v>
      </c>
      <c r="AH53" s="76">
        <f t="shared" si="2"/>
        <v>8.248154598764135</v>
      </c>
      <c r="AI53" s="77">
        <f t="shared" si="3"/>
        <v>123722.31898146203</v>
      </c>
    </row>
    <row r="54" spans="2:35" ht="12.75">
      <c r="B54" s="12"/>
      <c r="C54" s="14"/>
      <c r="D54" s="15"/>
      <c r="E54" s="16"/>
      <c r="F54" s="13"/>
      <c r="O54" s="73">
        <v>40953</v>
      </c>
      <c r="P54" s="74" t="s">
        <v>131</v>
      </c>
      <c r="Q54" s="74">
        <v>100</v>
      </c>
      <c r="R54" s="75">
        <v>8.2497</v>
      </c>
      <c r="S54" s="74">
        <v>8.5085</v>
      </c>
      <c r="T54" s="74">
        <v>20000</v>
      </c>
      <c r="U54" s="95">
        <v>20000</v>
      </c>
      <c r="V54" s="76">
        <f t="shared" si="0"/>
        <v>8.249753617870148</v>
      </c>
      <c r="W54" s="77">
        <f t="shared" si="1"/>
        <v>164995.07235740297</v>
      </c>
      <c r="X54" s="78"/>
      <c r="AA54" t="s">
        <v>69</v>
      </c>
      <c r="AB54" s="2">
        <v>0</v>
      </c>
      <c r="AC54" s="2">
        <v>471</v>
      </c>
      <c r="AD54" s="2">
        <v>100.0764</v>
      </c>
      <c r="AE54" s="2">
        <v>362776.95</v>
      </c>
      <c r="AF54" s="2">
        <v>362500</v>
      </c>
      <c r="AG54" s="90">
        <v>6.53</v>
      </c>
      <c r="AH54" s="76">
        <f t="shared" si="2"/>
        <v>6.375926898814299</v>
      </c>
      <c r="AI54" s="77">
        <f t="shared" si="3"/>
        <v>2313039.31377481</v>
      </c>
    </row>
    <row r="55" spans="2:35" ht="12.75">
      <c r="B55" s="12"/>
      <c r="C55" s="14"/>
      <c r="D55" s="15"/>
      <c r="E55" s="16"/>
      <c r="F55" s="13"/>
      <c r="O55" s="73">
        <v>41010</v>
      </c>
      <c r="P55" s="74" t="s">
        <v>183</v>
      </c>
      <c r="Q55" s="74">
        <v>105.7995</v>
      </c>
      <c r="R55" s="75">
        <v>5.294</v>
      </c>
      <c r="S55" s="74">
        <v>5.4</v>
      </c>
      <c r="T55" s="74">
        <v>33855.84</v>
      </c>
      <c r="U55" s="95">
        <v>33855.84</v>
      </c>
      <c r="V55" s="76">
        <f t="shared" si="0"/>
        <v>5.293971614056492</v>
      </c>
      <c r="W55" s="77">
        <f t="shared" si="1"/>
        <v>179231.85593003832</v>
      </c>
      <c r="X55" s="78"/>
      <c r="AA55" t="s">
        <v>69</v>
      </c>
      <c r="AB55" s="2">
        <v>8.2475</v>
      </c>
      <c r="AC55" s="2">
        <v>1058</v>
      </c>
      <c r="AD55" s="2">
        <v>100</v>
      </c>
      <c r="AE55" s="2">
        <v>65000</v>
      </c>
      <c r="AF55" s="2">
        <v>65000</v>
      </c>
      <c r="AG55" s="90">
        <v>8.5062</v>
      </c>
      <c r="AH55" s="76">
        <f t="shared" si="2"/>
        <v>8.247590234593627</v>
      </c>
      <c r="AI55" s="77">
        <f t="shared" si="3"/>
        <v>536093.3652485857</v>
      </c>
    </row>
    <row r="56" spans="2:35" ht="12.75">
      <c r="B56" s="12"/>
      <c r="C56" s="14"/>
      <c r="D56" s="15"/>
      <c r="E56" s="16"/>
      <c r="F56" s="13"/>
      <c r="O56" s="73">
        <v>40945</v>
      </c>
      <c r="P56" s="74" t="s">
        <v>132</v>
      </c>
      <c r="Q56" s="74">
        <v>99.9961</v>
      </c>
      <c r="R56" s="75">
        <v>7.5</v>
      </c>
      <c r="S56" s="74">
        <v>7.7136</v>
      </c>
      <c r="T56" s="74">
        <v>73330.5</v>
      </c>
      <c r="U56" s="95">
        <v>73330.5</v>
      </c>
      <c r="V56" s="76">
        <f t="shared" si="0"/>
        <v>7.500012694114311</v>
      </c>
      <c r="W56" s="77">
        <f t="shared" si="1"/>
        <v>549979.6808657495</v>
      </c>
      <c r="X56" s="78"/>
      <c r="AA56" t="s">
        <v>69</v>
      </c>
      <c r="AB56" s="2">
        <v>8.2475</v>
      </c>
      <c r="AC56" s="2">
        <v>1058</v>
      </c>
      <c r="AD56" s="2">
        <v>100</v>
      </c>
      <c r="AE56" s="2">
        <v>20000</v>
      </c>
      <c r="AF56" s="2">
        <v>20000</v>
      </c>
      <c r="AG56" s="90">
        <v>8.5062</v>
      </c>
      <c r="AH56" s="76">
        <f t="shared" si="2"/>
        <v>8.247590234593627</v>
      </c>
      <c r="AI56" s="77">
        <f t="shared" si="3"/>
        <v>164951.80469187253</v>
      </c>
    </row>
    <row r="57" spans="2:35" ht="12.75">
      <c r="B57" s="12"/>
      <c r="C57" s="14"/>
      <c r="D57" s="15"/>
      <c r="E57" s="16"/>
      <c r="F57" s="13"/>
      <c r="O57" s="73">
        <v>40946</v>
      </c>
      <c r="P57" s="74" t="s">
        <v>132</v>
      </c>
      <c r="Q57" s="74">
        <v>99.9998</v>
      </c>
      <c r="R57" s="75">
        <v>0</v>
      </c>
      <c r="S57" s="74">
        <v>7.7136</v>
      </c>
      <c r="T57" s="74">
        <v>833.33</v>
      </c>
      <c r="U57" s="95">
        <v>833.33</v>
      </c>
      <c r="V57" s="76">
        <f t="shared" si="0"/>
        <v>7.500012694114311</v>
      </c>
      <c r="W57" s="77">
        <f t="shared" si="1"/>
        <v>6249.985578386279</v>
      </c>
      <c r="X57" s="77">
        <f>+SUM(W56:W57)/SUM(T56:T57)</f>
        <v>7.50001269411431</v>
      </c>
      <c r="Y57" s="77">
        <f>+SUM(W56:W57)</f>
        <v>556229.6664441357</v>
      </c>
      <c r="AA57" t="s">
        <v>69</v>
      </c>
      <c r="AB57" s="2">
        <v>8.498</v>
      </c>
      <c r="AC57" s="2">
        <v>1775</v>
      </c>
      <c r="AD57" s="2">
        <v>100</v>
      </c>
      <c r="AE57" s="2">
        <v>400000</v>
      </c>
      <c r="AF57" s="2">
        <v>400000</v>
      </c>
      <c r="AG57" s="90">
        <v>8.7727</v>
      </c>
      <c r="AH57" s="76">
        <f t="shared" si="2"/>
        <v>8.498031960231511</v>
      </c>
      <c r="AI57" s="77">
        <f t="shared" si="3"/>
        <v>3399212.7840926046</v>
      </c>
    </row>
    <row r="58" spans="2:35" ht="12.75">
      <c r="B58" s="12"/>
      <c r="C58" s="14"/>
      <c r="D58" s="15"/>
      <c r="E58" s="16"/>
      <c r="F58" s="13"/>
      <c r="O58" s="73">
        <v>40939</v>
      </c>
      <c r="P58" s="74" t="s">
        <v>102</v>
      </c>
      <c r="Q58" s="74">
        <v>104.7541</v>
      </c>
      <c r="R58" s="75">
        <v>5.5821</v>
      </c>
      <c r="S58" s="74">
        <v>5.7</v>
      </c>
      <c r="T58" s="74">
        <v>254203.34</v>
      </c>
      <c r="U58" s="95">
        <v>254203.34</v>
      </c>
      <c r="V58" s="76">
        <f t="shared" si="0"/>
        <v>5.58206133861292</v>
      </c>
      <c r="W58" s="77">
        <f t="shared" si="1"/>
        <v>1418978.6363602753</v>
      </c>
      <c r="X58" s="78"/>
      <c r="AA58" t="s">
        <v>69</v>
      </c>
      <c r="AB58" s="2">
        <v>8.247</v>
      </c>
      <c r="AC58" s="2">
        <v>1049</v>
      </c>
      <c r="AD58" s="2">
        <v>100</v>
      </c>
      <c r="AE58" s="2">
        <v>40000</v>
      </c>
      <c r="AF58" s="2">
        <v>40000</v>
      </c>
      <c r="AG58" s="90">
        <v>8.5055</v>
      </c>
      <c r="AH58" s="76">
        <f t="shared" si="2"/>
        <v>8.246931806769897</v>
      </c>
      <c r="AI58" s="77">
        <f t="shared" si="3"/>
        <v>329877.2722707959</v>
      </c>
    </row>
    <row r="59" spans="2:35" ht="12.75">
      <c r="B59" s="12"/>
      <c r="C59" s="14"/>
      <c r="D59" s="15"/>
      <c r="E59" s="16"/>
      <c r="F59" s="13"/>
      <c r="O59" s="73">
        <v>40939</v>
      </c>
      <c r="P59" s="74" t="s">
        <v>102</v>
      </c>
      <c r="Q59" s="74">
        <v>104.7541</v>
      </c>
      <c r="R59" s="75">
        <v>5.5821</v>
      </c>
      <c r="S59" s="74">
        <v>5.7</v>
      </c>
      <c r="T59" s="74">
        <v>222427.92</v>
      </c>
      <c r="U59" s="95">
        <v>222427.92</v>
      </c>
      <c r="V59" s="76">
        <f t="shared" si="0"/>
        <v>5.58206133861292</v>
      </c>
      <c r="W59" s="77">
        <f t="shared" si="1"/>
        <v>1241606.2928600877</v>
      </c>
      <c r="X59" s="78"/>
      <c r="AA59" t="s">
        <v>69</v>
      </c>
      <c r="AB59" s="2">
        <v>8.2469</v>
      </c>
      <c r="AC59" s="2">
        <v>1048</v>
      </c>
      <c r="AD59" s="2">
        <v>100</v>
      </c>
      <c r="AE59" s="2">
        <v>280000</v>
      </c>
      <c r="AF59" s="2">
        <v>280000</v>
      </c>
      <c r="AG59" s="90">
        <v>8.5055</v>
      </c>
      <c r="AH59" s="76">
        <f t="shared" si="2"/>
        <v>8.246931806769897</v>
      </c>
      <c r="AI59" s="77">
        <f t="shared" si="3"/>
        <v>2309140.905895571</v>
      </c>
    </row>
    <row r="60" spans="2:35" ht="12.75">
      <c r="B60" s="12"/>
      <c r="C60" s="14"/>
      <c r="D60" s="15"/>
      <c r="E60" s="16"/>
      <c r="F60" s="13"/>
      <c r="O60" s="73">
        <v>41023</v>
      </c>
      <c r="P60" s="74" t="s">
        <v>102</v>
      </c>
      <c r="Q60" s="74">
        <v>105.2716</v>
      </c>
      <c r="R60" s="75">
        <v>4.8125</v>
      </c>
      <c r="S60" s="74">
        <v>4.9</v>
      </c>
      <c r="T60" s="74">
        <v>456177.15</v>
      </c>
      <c r="U60" s="95">
        <v>456177.15</v>
      </c>
      <c r="V60" s="76">
        <f t="shared" si="0"/>
        <v>4.812452441977033</v>
      </c>
      <c r="W60" s="77">
        <f t="shared" si="1"/>
        <v>2195330.8394916235</v>
      </c>
      <c r="X60" s="78"/>
      <c r="AA60" t="s">
        <v>69</v>
      </c>
      <c r="AB60" s="2">
        <v>8.2469</v>
      </c>
      <c r="AC60" s="2">
        <v>1047</v>
      </c>
      <c r="AD60" s="2">
        <v>100</v>
      </c>
      <c r="AE60" s="2">
        <v>40000</v>
      </c>
      <c r="AF60" s="2">
        <v>40000</v>
      </c>
      <c r="AG60" s="90">
        <v>8.5054</v>
      </c>
      <c r="AH60" s="76">
        <f t="shared" si="2"/>
        <v>8.246837745392188</v>
      </c>
      <c r="AI60" s="77">
        <f t="shared" si="3"/>
        <v>329873.50981568755</v>
      </c>
    </row>
    <row r="61" spans="2:35" ht="12.75">
      <c r="B61" s="12"/>
      <c r="C61" s="14"/>
      <c r="D61" s="15"/>
      <c r="E61" s="16"/>
      <c r="F61" s="13"/>
      <c r="O61" s="73">
        <v>40954</v>
      </c>
      <c r="P61" s="74" t="s">
        <v>117</v>
      </c>
      <c r="Q61" s="74">
        <v>100</v>
      </c>
      <c r="R61" s="75">
        <v>7.9986</v>
      </c>
      <c r="S61" s="74">
        <v>8.2417</v>
      </c>
      <c r="T61" s="74">
        <v>100000</v>
      </c>
      <c r="U61" s="95">
        <v>100000</v>
      </c>
      <c r="V61" s="76">
        <f t="shared" si="0"/>
        <v>7.998571431837842</v>
      </c>
      <c r="W61" s="77">
        <f t="shared" si="1"/>
        <v>799857.1431837842</v>
      </c>
      <c r="X61" s="78"/>
      <c r="AA61" t="s">
        <v>69</v>
      </c>
      <c r="AB61" s="2">
        <v>8.2467</v>
      </c>
      <c r="AC61" s="2">
        <v>1044</v>
      </c>
      <c r="AD61" s="2">
        <v>100</v>
      </c>
      <c r="AE61" s="2">
        <v>100000</v>
      </c>
      <c r="AF61" s="2">
        <v>100000</v>
      </c>
      <c r="AG61" s="90">
        <v>8.5053</v>
      </c>
      <c r="AH61" s="76">
        <f t="shared" si="2"/>
        <v>8.246743683949465</v>
      </c>
      <c r="AI61" s="77">
        <f t="shared" si="3"/>
        <v>824674.3683949464</v>
      </c>
    </row>
    <row r="62" spans="2:35" ht="12.75">
      <c r="B62" s="12"/>
      <c r="C62" s="14"/>
      <c r="D62" s="15"/>
      <c r="E62" s="16"/>
      <c r="F62" s="13"/>
      <c r="O62" s="73">
        <v>40989</v>
      </c>
      <c r="P62" s="74" t="s">
        <v>117</v>
      </c>
      <c r="Q62" s="74">
        <v>100</v>
      </c>
      <c r="R62" s="75">
        <v>7.998</v>
      </c>
      <c r="S62" s="74">
        <v>8.2411</v>
      </c>
      <c r="T62" s="74">
        <v>99366.74</v>
      </c>
      <c r="U62" s="95">
        <v>99366.74</v>
      </c>
      <c r="V62" s="76">
        <f t="shared" si="0"/>
        <v>7.998006031322813</v>
      </c>
      <c r="W62" s="77">
        <f t="shared" si="1"/>
        <v>794735.7858328859</v>
      </c>
      <c r="X62" s="78"/>
      <c r="AA62" t="s">
        <v>69</v>
      </c>
      <c r="AB62" s="2">
        <v>5</v>
      </c>
      <c r="AC62" s="2">
        <v>310</v>
      </c>
      <c r="AD62" s="2">
        <v>101.4232</v>
      </c>
      <c r="AE62" s="2">
        <v>45640.44</v>
      </c>
      <c r="AF62" s="2">
        <v>45000</v>
      </c>
      <c r="AG62" s="90">
        <v>5.0945</v>
      </c>
      <c r="AH62" s="76">
        <f t="shared" si="2"/>
        <v>4.9999675410777655</v>
      </c>
      <c r="AI62" s="77">
        <f t="shared" si="3"/>
        <v>228200.71856050732</v>
      </c>
    </row>
    <row r="63" spans="2:35" ht="12.75">
      <c r="B63" s="12"/>
      <c r="C63" s="14"/>
      <c r="D63" s="15"/>
      <c r="E63" s="16"/>
      <c r="F63" s="13"/>
      <c r="O63" s="73">
        <v>40988</v>
      </c>
      <c r="P63" s="74" t="s">
        <v>117</v>
      </c>
      <c r="Q63" s="74">
        <v>100</v>
      </c>
      <c r="R63" s="75">
        <v>7.9981</v>
      </c>
      <c r="S63" s="74">
        <v>8.2412</v>
      </c>
      <c r="T63" s="74">
        <v>709762.41</v>
      </c>
      <c r="U63" s="95">
        <v>709762.41</v>
      </c>
      <c r="V63" s="76">
        <f t="shared" si="0"/>
        <v>7.998100264905261</v>
      </c>
      <c r="W63" s="77">
        <f t="shared" si="1"/>
        <v>5676750.919440797</v>
      </c>
      <c r="X63" s="78"/>
      <c r="AA63" t="s">
        <v>69</v>
      </c>
      <c r="AB63" s="2">
        <v>7.75</v>
      </c>
      <c r="AC63" s="2">
        <v>1297</v>
      </c>
      <c r="AD63" s="2">
        <v>99.9955</v>
      </c>
      <c r="AE63" s="2">
        <v>19999.1</v>
      </c>
      <c r="AF63" s="2">
        <v>20000</v>
      </c>
      <c r="AG63" s="90">
        <v>7.9782</v>
      </c>
      <c r="AH63" s="76">
        <f t="shared" si="2"/>
        <v>7.750039891905658</v>
      </c>
      <c r="AI63" s="77">
        <f t="shared" si="3"/>
        <v>154993.82280221043</v>
      </c>
    </row>
    <row r="64" spans="2:35" ht="12.75">
      <c r="B64" s="12"/>
      <c r="C64" s="14"/>
      <c r="D64" s="15"/>
      <c r="E64" s="16"/>
      <c r="F64" s="13"/>
      <c r="O64" s="73">
        <v>40933</v>
      </c>
      <c r="P64" s="74" t="s">
        <v>117</v>
      </c>
      <c r="Q64" s="74">
        <v>99.9953</v>
      </c>
      <c r="R64" s="75">
        <v>8</v>
      </c>
      <c r="S64" s="74">
        <v>8.2432</v>
      </c>
      <c r="T64" s="74">
        <v>1499930.11</v>
      </c>
      <c r="U64" s="95">
        <v>1499930.11</v>
      </c>
      <c r="V64" s="76">
        <f t="shared" si="0"/>
        <v>7.9999849228418185</v>
      </c>
      <c r="W64" s="77">
        <f t="shared" si="1"/>
        <v>11999418.265316471</v>
      </c>
      <c r="X64" s="78"/>
      <c r="AA64" t="s">
        <v>69</v>
      </c>
      <c r="AB64" s="2">
        <v>6.8234</v>
      </c>
      <c r="AC64" s="2">
        <v>1680</v>
      </c>
      <c r="AD64" s="2">
        <v>102.0606</v>
      </c>
      <c r="AE64" s="2">
        <v>20412.12</v>
      </c>
      <c r="AF64" s="2">
        <v>20000</v>
      </c>
      <c r="AG64" s="90">
        <v>7</v>
      </c>
      <c r="AH64" s="76">
        <f t="shared" si="2"/>
        <v>6.82341000072455</v>
      </c>
      <c r="AI64" s="77">
        <f t="shared" si="3"/>
        <v>139280.2637439896</v>
      </c>
    </row>
    <row r="65" spans="2:35" ht="12.75">
      <c r="B65" s="12"/>
      <c r="C65" s="14"/>
      <c r="D65" s="15"/>
      <c r="E65" s="16"/>
      <c r="F65" s="13"/>
      <c r="O65" s="73">
        <v>40920</v>
      </c>
      <c r="P65" s="74" t="s">
        <v>117</v>
      </c>
      <c r="Q65" s="74">
        <v>99.9951</v>
      </c>
      <c r="R65" s="75">
        <v>8</v>
      </c>
      <c r="S65" s="74">
        <v>8.2432</v>
      </c>
      <c r="T65" s="74">
        <v>2999853</v>
      </c>
      <c r="U65" s="95">
        <v>2999853</v>
      </c>
      <c r="V65" s="76">
        <f t="shared" si="0"/>
        <v>7.9999849228418185</v>
      </c>
      <c r="W65" s="77">
        <f t="shared" si="1"/>
        <v>23998778.770741798</v>
      </c>
      <c r="X65" s="78"/>
      <c r="AA65" t="s">
        <v>69</v>
      </c>
      <c r="AB65" s="2">
        <v>8.4989</v>
      </c>
      <c r="AC65" s="2">
        <v>1789</v>
      </c>
      <c r="AD65" s="2">
        <v>100</v>
      </c>
      <c r="AE65" s="2">
        <v>175000</v>
      </c>
      <c r="AF65" s="2">
        <v>175000</v>
      </c>
      <c r="AG65" s="90">
        <v>8.7737</v>
      </c>
      <c r="AH65" s="76">
        <f t="shared" si="2"/>
        <v>8.498970836952502</v>
      </c>
      <c r="AI65" s="77">
        <f t="shared" si="3"/>
        <v>1487319.8964666878</v>
      </c>
    </row>
    <row r="66" spans="2:35" ht="12.75">
      <c r="B66" s="12"/>
      <c r="C66" s="14"/>
      <c r="D66" s="15"/>
      <c r="E66" s="16"/>
      <c r="F66" s="13"/>
      <c r="O66" s="73">
        <v>40918</v>
      </c>
      <c r="P66" s="74" t="s">
        <v>117</v>
      </c>
      <c r="Q66" s="74">
        <v>100</v>
      </c>
      <c r="R66" s="75">
        <v>7.9971</v>
      </c>
      <c r="S66" s="74">
        <v>8.2401</v>
      </c>
      <c r="T66" s="74">
        <v>10000</v>
      </c>
      <c r="U66" s="95">
        <v>10000</v>
      </c>
      <c r="V66" s="76">
        <f t="shared" si="0"/>
        <v>7.997063691907513</v>
      </c>
      <c r="W66" s="77">
        <f t="shared" si="1"/>
        <v>79970.63691907513</v>
      </c>
      <c r="X66" s="78"/>
      <c r="AA66" t="s">
        <v>69</v>
      </c>
      <c r="AB66" s="2">
        <v>5.6012</v>
      </c>
      <c r="AC66" s="2">
        <v>1040</v>
      </c>
      <c r="AD66" s="2">
        <v>102.3856</v>
      </c>
      <c r="AE66" s="2">
        <v>153578.4</v>
      </c>
      <c r="AF66" s="2">
        <v>150000</v>
      </c>
      <c r="AG66" s="90">
        <v>5.72</v>
      </c>
      <c r="AH66" s="76">
        <f t="shared" si="2"/>
        <v>5.601245505416319</v>
      </c>
      <c r="AI66" s="77">
        <f t="shared" si="3"/>
        <v>860230.3227290296</v>
      </c>
    </row>
    <row r="67" spans="2:35" ht="12.75">
      <c r="B67" s="12"/>
      <c r="C67" s="14"/>
      <c r="D67" s="15"/>
      <c r="E67" s="13"/>
      <c r="F67" s="13"/>
      <c r="O67" s="73">
        <v>41009</v>
      </c>
      <c r="P67" s="74" t="s">
        <v>117</v>
      </c>
      <c r="Q67" s="74">
        <v>99.9951</v>
      </c>
      <c r="R67" s="75">
        <v>8</v>
      </c>
      <c r="S67" s="74">
        <v>8.2432</v>
      </c>
      <c r="T67" s="74">
        <v>1892606.82</v>
      </c>
      <c r="U67" s="95">
        <v>1892606.82</v>
      </c>
      <c r="V67" s="76">
        <f t="shared" si="0"/>
        <v>7.9999849228418185</v>
      </c>
      <c r="W67" s="77">
        <f t="shared" si="1"/>
        <v>15140826.0248676</v>
      </c>
      <c r="X67" s="78"/>
      <c r="AA67" t="s">
        <v>69</v>
      </c>
      <c r="AB67" s="2">
        <v>5.6012</v>
      </c>
      <c r="AC67" s="2">
        <v>1040</v>
      </c>
      <c r="AD67" s="2">
        <v>102.3856</v>
      </c>
      <c r="AE67" s="2">
        <v>184294.08</v>
      </c>
      <c r="AF67" s="2">
        <v>180000</v>
      </c>
      <c r="AG67" s="90">
        <v>5.72</v>
      </c>
      <c r="AH67" s="76">
        <f t="shared" si="2"/>
        <v>5.601245505416319</v>
      </c>
      <c r="AI67" s="77">
        <f t="shared" si="3"/>
        <v>1032276.3872748355</v>
      </c>
    </row>
    <row r="68" spans="15:35" ht="12.75">
      <c r="O68" s="73">
        <v>40940</v>
      </c>
      <c r="P68" s="74" t="s">
        <v>119</v>
      </c>
      <c r="Q68" s="74">
        <v>99.9965</v>
      </c>
      <c r="R68" s="75">
        <v>8</v>
      </c>
      <c r="S68" s="74">
        <v>8.2432</v>
      </c>
      <c r="T68" s="74">
        <v>26999.05</v>
      </c>
      <c r="U68" s="95">
        <v>26999.05</v>
      </c>
      <c r="V68" s="76">
        <f t="shared" si="0"/>
        <v>7.9999849228418185</v>
      </c>
      <c r="W68" s="77">
        <f t="shared" si="1"/>
        <v>215991.9929310524</v>
      </c>
      <c r="X68" s="78"/>
      <c r="AA68" t="s">
        <v>69</v>
      </c>
      <c r="AB68" s="2">
        <v>8.4989</v>
      </c>
      <c r="AC68" s="2">
        <v>1789</v>
      </c>
      <c r="AD68" s="2">
        <v>100</v>
      </c>
      <c r="AE68" s="2">
        <v>500000</v>
      </c>
      <c r="AF68" s="2">
        <v>500000</v>
      </c>
      <c r="AG68" s="90">
        <v>8.7737</v>
      </c>
      <c r="AH68" s="76">
        <f t="shared" si="2"/>
        <v>8.498970836952502</v>
      </c>
      <c r="AI68" s="77">
        <f t="shared" si="3"/>
        <v>4249485.418476251</v>
      </c>
    </row>
    <row r="69" spans="15:35" ht="12.75">
      <c r="O69" s="73">
        <v>40940</v>
      </c>
      <c r="P69" s="74" t="s">
        <v>119</v>
      </c>
      <c r="Q69" s="74">
        <v>99.9965</v>
      </c>
      <c r="R69" s="75">
        <v>8</v>
      </c>
      <c r="S69" s="74">
        <v>8.2432</v>
      </c>
      <c r="T69" s="74">
        <v>99996.46</v>
      </c>
      <c r="U69" s="95">
        <v>99996.46</v>
      </c>
      <c r="V69" s="76">
        <f t="shared" si="0"/>
        <v>7.9999849228418185</v>
      </c>
      <c r="W69" s="77">
        <f t="shared" si="1"/>
        <v>799970.1723375551</v>
      </c>
      <c r="X69" s="78"/>
      <c r="AA69" t="s">
        <v>69</v>
      </c>
      <c r="AB69" s="2">
        <v>5.5821</v>
      </c>
      <c r="AC69" s="2">
        <v>1168</v>
      </c>
      <c r="AD69" s="2">
        <v>104.7541</v>
      </c>
      <c r="AE69" s="2">
        <v>254203.34</v>
      </c>
      <c r="AF69" s="2">
        <v>242666.67</v>
      </c>
      <c r="AG69" s="90">
        <v>5.7</v>
      </c>
      <c r="AH69" s="76">
        <f t="shared" si="2"/>
        <v>5.58206133861292</v>
      </c>
      <c r="AI69" s="77">
        <f t="shared" si="3"/>
        <v>1418978.6363602753</v>
      </c>
    </row>
    <row r="70" spans="15:35" ht="12.75">
      <c r="O70" s="73">
        <v>40939</v>
      </c>
      <c r="P70" s="74" t="s">
        <v>119</v>
      </c>
      <c r="Q70" s="74">
        <v>99.9956</v>
      </c>
      <c r="R70" s="75">
        <v>7.75</v>
      </c>
      <c r="S70" s="74">
        <v>7.9782</v>
      </c>
      <c r="T70" s="74">
        <v>199991.27</v>
      </c>
      <c r="U70" s="95">
        <v>199991.27</v>
      </c>
      <c r="V70" s="76">
        <f t="shared" si="0"/>
        <v>7.750039891905658</v>
      </c>
      <c r="W70" s="77">
        <f t="shared" si="1"/>
        <v>1549940.3205328751</v>
      </c>
      <c r="X70" s="78"/>
      <c r="AA70" t="s">
        <v>69</v>
      </c>
      <c r="AB70" s="2">
        <v>7.4563</v>
      </c>
      <c r="AC70" s="2">
        <v>323</v>
      </c>
      <c r="AD70" s="2">
        <v>100.27</v>
      </c>
      <c r="AE70" s="2">
        <v>39755.05</v>
      </c>
      <c r="AF70" s="2">
        <v>39648</v>
      </c>
      <c r="AG70" s="90">
        <v>7.6674</v>
      </c>
      <c r="AH70" s="76">
        <f t="shared" si="2"/>
        <v>7.456309927103177</v>
      </c>
      <c r="AI70" s="77">
        <f t="shared" si="3"/>
        <v>296425.9739674832</v>
      </c>
    </row>
    <row r="71" spans="15:35" ht="12.75">
      <c r="O71" s="73">
        <v>40942</v>
      </c>
      <c r="P71" s="74" t="s">
        <v>119</v>
      </c>
      <c r="Q71" s="74">
        <v>99.9962</v>
      </c>
      <c r="R71" s="75">
        <v>8</v>
      </c>
      <c r="S71" s="74">
        <v>8.2432</v>
      </c>
      <c r="T71" s="74">
        <v>99996.24</v>
      </c>
      <c r="U71" s="95">
        <v>99996.24</v>
      </c>
      <c r="V71" s="76">
        <f aca="true" t="shared" si="10" ref="V71:V78">+((1+S71/100)^(90/360)-1)*(400)</f>
        <v>7.9999849228418185</v>
      </c>
      <c r="W71" s="77">
        <f aca="true" t="shared" si="11" ref="W71:W78">+V71*T71</f>
        <v>799968.412340872</v>
      </c>
      <c r="X71" s="78"/>
      <c r="AA71" t="s">
        <v>69</v>
      </c>
      <c r="AB71" s="2">
        <v>5.5821</v>
      </c>
      <c r="AC71" s="2">
        <v>1168</v>
      </c>
      <c r="AD71" s="2">
        <v>104.7541</v>
      </c>
      <c r="AE71" s="2">
        <v>222427.92</v>
      </c>
      <c r="AF71" s="2">
        <v>212333.33</v>
      </c>
      <c r="AG71" s="90">
        <v>5.7</v>
      </c>
      <c r="AH71" s="76">
        <f t="shared" si="2"/>
        <v>5.58206133861292</v>
      </c>
      <c r="AI71" s="77">
        <f aca="true" t="shared" si="12" ref="AI71:AI78">+AH71*AE71</f>
        <v>1241606.2928600877</v>
      </c>
    </row>
    <row r="72" spans="15:35" ht="12.75">
      <c r="O72" s="73">
        <v>40940</v>
      </c>
      <c r="P72" s="74" t="s">
        <v>119</v>
      </c>
      <c r="Q72" s="74">
        <v>99.9965</v>
      </c>
      <c r="R72" s="75">
        <v>8</v>
      </c>
      <c r="S72" s="74">
        <v>8.2432</v>
      </c>
      <c r="T72" s="74">
        <v>149994.7</v>
      </c>
      <c r="U72" s="95">
        <v>149994.7</v>
      </c>
      <c r="V72" s="76">
        <f t="shared" si="10"/>
        <v>7.9999849228418185</v>
      </c>
      <c r="W72" s="77">
        <f t="shared" si="11"/>
        <v>1199955.3385061817</v>
      </c>
      <c r="X72" s="78"/>
      <c r="AA72" t="s">
        <v>69</v>
      </c>
      <c r="AB72" s="2">
        <v>7.4115</v>
      </c>
      <c r="AC72" s="2">
        <v>1155</v>
      </c>
      <c r="AD72" s="2">
        <v>102.6753</v>
      </c>
      <c r="AE72" s="2">
        <v>213282.26</v>
      </c>
      <c r="AF72" s="2">
        <v>207725</v>
      </c>
      <c r="AG72" s="90">
        <v>7.62</v>
      </c>
      <c r="AH72" s="76">
        <f t="shared" si="2"/>
        <v>7.411457403503885</v>
      </c>
      <c r="AI72" s="77">
        <f t="shared" si="12"/>
        <v>1580732.3849130406</v>
      </c>
    </row>
    <row r="73" spans="15:35" ht="12.75">
      <c r="O73" s="73">
        <v>40952</v>
      </c>
      <c r="P73" s="74" t="s">
        <v>119</v>
      </c>
      <c r="Q73" s="74">
        <v>99.9954</v>
      </c>
      <c r="R73" s="75">
        <v>7.75</v>
      </c>
      <c r="S73" s="74">
        <v>7.9782</v>
      </c>
      <c r="T73" s="74">
        <v>74996.52</v>
      </c>
      <c r="U73" s="95">
        <v>74996.52</v>
      </c>
      <c r="V73" s="76">
        <f t="shared" si="10"/>
        <v>7.750039891905658</v>
      </c>
      <c r="W73" s="77">
        <f t="shared" si="11"/>
        <v>581226.0217541006</v>
      </c>
      <c r="X73" s="78"/>
      <c r="AA73" t="s">
        <v>69</v>
      </c>
      <c r="AB73" s="2">
        <v>7.4115</v>
      </c>
      <c r="AC73" s="2">
        <v>1155</v>
      </c>
      <c r="AD73" s="2">
        <v>102.6753</v>
      </c>
      <c r="AE73" s="2">
        <v>272277.82</v>
      </c>
      <c r="AF73" s="2">
        <v>265183.37</v>
      </c>
      <c r="AG73" s="90">
        <v>7.62</v>
      </c>
      <c r="AH73" s="76">
        <f t="shared" si="2"/>
        <v>7.411457403503885</v>
      </c>
      <c r="AI73" s="77">
        <f t="shared" si="12"/>
        <v>2017975.4648488981</v>
      </c>
    </row>
    <row r="74" spans="15:35" ht="12.75">
      <c r="O74" s="73">
        <v>40931</v>
      </c>
      <c r="P74" s="74" t="s">
        <v>119</v>
      </c>
      <c r="Q74" s="74">
        <v>99.9976</v>
      </c>
      <c r="R74" s="75">
        <v>8</v>
      </c>
      <c r="S74" s="74">
        <v>8.2432</v>
      </c>
      <c r="T74" s="74">
        <v>5999.85</v>
      </c>
      <c r="U74" s="95">
        <v>5999.85</v>
      </c>
      <c r="V74" s="76">
        <f t="shared" si="10"/>
        <v>7.9999849228418185</v>
      </c>
      <c r="W74" s="77">
        <f t="shared" si="11"/>
        <v>47998.70953931249</v>
      </c>
      <c r="X74" s="78"/>
      <c r="AA74" t="s">
        <v>69</v>
      </c>
      <c r="AB74" s="2">
        <v>8.4989</v>
      </c>
      <c r="AC74" s="2">
        <v>1789</v>
      </c>
      <c r="AD74" s="2">
        <v>100</v>
      </c>
      <c r="AE74" s="2">
        <v>40000</v>
      </c>
      <c r="AF74" s="2">
        <v>40000</v>
      </c>
      <c r="AG74" s="90">
        <v>8.7737</v>
      </c>
      <c r="AH74" s="76">
        <f t="shared" si="2"/>
        <v>8.498970836952502</v>
      </c>
      <c r="AI74" s="77">
        <f t="shared" si="12"/>
        <v>339958.8334781001</v>
      </c>
    </row>
    <row r="75" spans="15:35" ht="12.75">
      <c r="O75" s="73">
        <v>40933</v>
      </c>
      <c r="P75" s="74" t="s">
        <v>119</v>
      </c>
      <c r="Q75" s="74">
        <v>99.9973</v>
      </c>
      <c r="R75" s="75">
        <v>8</v>
      </c>
      <c r="S75" s="74">
        <v>8.2432</v>
      </c>
      <c r="T75" s="74">
        <v>99997.26</v>
      </c>
      <c r="U75" s="95">
        <v>99997.26</v>
      </c>
      <c r="V75" s="76">
        <f t="shared" si="10"/>
        <v>7.9999849228418185</v>
      </c>
      <c r="W75" s="77">
        <f t="shared" si="11"/>
        <v>799976.5723254932</v>
      </c>
      <c r="X75" s="78"/>
      <c r="AA75" t="s">
        <v>69</v>
      </c>
      <c r="AB75" s="2">
        <v>8.4989</v>
      </c>
      <c r="AC75" s="2">
        <v>1789</v>
      </c>
      <c r="AD75" s="2">
        <v>100</v>
      </c>
      <c r="AE75" s="2">
        <v>30000</v>
      </c>
      <c r="AF75" s="2">
        <v>30000</v>
      </c>
      <c r="AG75" s="90">
        <v>8.7737</v>
      </c>
      <c r="AH75" s="76">
        <f t="shared" si="2"/>
        <v>8.498970836952502</v>
      </c>
      <c r="AI75" s="77">
        <f t="shared" si="12"/>
        <v>254969.12510857507</v>
      </c>
    </row>
    <row r="76" spans="15:35" ht="12.75">
      <c r="O76" s="73">
        <v>40935</v>
      </c>
      <c r="P76" s="74" t="s">
        <v>119</v>
      </c>
      <c r="Q76" s="74">
        <v>99.997</v>
      </c>
      <c r="R76" s="75">
        <v>8</v>
      </c>
      <c r="S76" s="74">
        <v>8.2432</v>
      </c>
      <c r="T76" s="74">
        <v>499984.86</v>
      </c>
      <c r="U76" s="95">
        <v>499984.86</v>
      </c>
      <c r="V76" s="76">
        <f t="shared" si="10"/>
        <v>7.9999849228418185</v>
      </c>
      <c r="W76" s="77">
        <f t="shared" si="11"/>
        <v>3999871.3416491775</v>
      </c>
      <c r="X76" s="78"/>
      <c r="AA76" t="s">
        <v>69</v>
      </c>
      <c r="AB76" s="2">
        <v>8.4989</v>
      </c>
      <c r="AC76" s="2">
        <v>1788</v>
      </c>
      <c r="AD76" s="2">
        <v>100</v>
      </c>
      <c r="AE76" s="2">
        <v>125000</v>
      </c>
      <c r="AF76" s="2">
        <v>125000</v>
      </c>
      <c r="AG76" s="90">
        <v>8.7736</v>
      </c>
      <c r="AH76" s="76">
        <f t="shared" si="2"/>
        <v>8.498876949571699</v>
      </c>
      <c r="AI76" s="77">
        <f t="shared" si="12"/>
        <v>1062359.6186964624</v>
      </c>
    </row>
    <row r="77" spans="15:35" ht="12.75">
      <c r="O77" s="73">
        <v>40918</v>
      </c>
      <c r="P77" s="74" t="s">
        <v>119</v>
      </c>
      <c r="Q77" s="74">
        <v>100</v>
      </c>
      <c r="R77" s="75">
        <v>8</v>
      </c>
      <c r="S77" s="74">
        <v>8.2432</v>
      </c>
      <c r="T77" s="74">
        <v>100000</v>
      </c>
      <c r="U77" s="95">
        <v>100000</v>
      </c>
      <c r="V77" s="76">
        <f t="shared" si="10"/>
        <v>7.9999849228418185</v>
      </c>
      <c r="W77" s="77">
        <f t="shared" si="11"/>
        <v>799998.4922841819</v>
      </c>
      <c r="X77" s="78"/>
      <c r="AA77" t="s">
        <v>69</v>
      </c>
      <c r="AB77" s="2">
        <v>7.75</v>
      </c>
      <c r="AC77" s="2">
        <v>1284</v>
      </c>
      <c r="AD77" s="2">
        <v>99.9964</v>
      </c>
      <c r="AE77" s="2">
        <v>14999.45</v>
      </c>
      <c r="AF77" s="2">
        <v>15000</v>
      </c>
      <c r="AG77" s="90">
        <v>7.9782</v>
      </c>
      <c r="AH77" s="76">
        <f t="shared" si="2"/>
        <v>7.750039891905658</v>
      </c>
      <c r="AI77" s="77">
        <f t="shared" si="12"/>
        <v>116246.33585664432</v>
      </c>
    </row>
    <row r="78" spans="15:35" ht="12.75">
      <c r="O78" s="73">
        <v>40919</v>
      </c>
      <c r="P78" s="74" t="s">
        <v>119</v>
      </c>
      <c r="Q78" s="74">
        <v>99.9998</v>
      </c>
      <c r="R78" s="75">
        <v>8</v>
      </c>
      <c r="S78" s="74">
        <v>8.2432</v>
      </c>
      <c r="T78" s="74">
        <v>19999.96</v>
      </c>
      <c r="U78" s="95">
        <v>19999.96</v>
      </c>
      <c r="V78" s="76">
        <f t="shared" si="10"/>
        <v>7.9999849228418185</v>
      </c>
      <c r="W78" s="77">
        <f t="shared" si="11"/>
        <v>159999.37845743945</v>
      </c>
      <c r="X78" s="78"/>
      <c r="AA78" t="s">
        <v>69</v>
      </c>
      <c r="AB78" s="2">
        <v>8</v>
      </c>
      <c r="AC78" s="2">
        <v>1397</v>
      </c>
      <c r="AD78" s="2">
        <v>99.9951</v>
      </c>
      <c r="AE78" s="2">
        <v>2999853</v>
      </c>
      <c r="AF78" s="2">
        <v>3000000</v>
      </c>
      <c r="AG78" s="90">
        <v>8.2432</v>
      </c>
      <c r="AH78" s="76">
        <f t="shared" si="2"/>
        <v>7.9999849228418185</v>
      </c>
      <c r="AI78" s="77">
        <f t="shared" si="12"/>
        <v>23998778.770741798</v>
      </c>
    </row>
    <row r="79" spans="15:35" ht="12.75">
      <c r="O79" s="73">
        <v>40942</v>
      </c>
      <c r="P79" s="74" t="s">
        <v>119</v>
      </c>
      <c r="Q79" s="74">
        <v>99.9962</v>
      </c>
      <c r="R79" s="75">
        <v>8</v>
      </c>
      <c r="S79" s="74">
        <v>8.2432</v>
      </c>
      <c r="T79" s="74">
        <v>99996.24</v>
      </c>
      <c r="U79" s="95">
        <v>99996.24</v>
      </c>
      <c r="V79" s="76">
        <f t="shared" si="0"/>
        <v>7.9999849228418185</v>
      </c>
      <c r="W79" s="77">
        <f t="shared" si="1"/>
        <v>799968.412340872</v>
      </c>
      <c r="X79" s="78"/>
      <c r="AA79" t="s">
        <v>69</v>
      </c>
      <c r="AB79" s="2">
        <v>5.5821</v>
      </c>
      <c r="AC79" s="2">
        <v>1168</v>
      </c>
      <c r="AD79" s="2">
        <v>104.7541</v>
      </c>
      <c r="AE79" s="2">
        <v>222427.92</v>
      </c>
      <c r="AF79" s="2">
        <v>212333.33</v>
      </c>
      <c r="AG79" s="90">
        <v>5.7</v>
      </c>
      <c r="AH79" s="76">
        <f t="shared" si="2"/>
        <v>5.58206133861292</v>
      </c>
      <c r="AI79" s="77">
        <f t="shared" si="3"/>
        <v>1241606.2928600877</v>
      </c>
    </row>
    <row r="80" spans="15:35" ht="12.75">
      <c r="O80" s="73">
        <v>40940</v>
      </c>
      <c r="P80" s="74" t="s">
        <v>119</v>
      </c>
      <c r="Q80" s="74">
        <v>99.9965</v>
      </c>
      <c r="R80" s="75">
        <v>8</v>
      </c>
      <c r="S80" s="74">
        <v>8.2432</v>
      </c>
      <c r="T80" s="74">
        <v>149994.7</v>
      </c>
      <c r="U80" s="95">
        <v>149994.7</v>
      </c>
      <c r="V80" s="76">
        <f t="shared" si="0"/>
        <v>7.9999849228418185</v>
      </c>
      <c r="W80" s="77">
        <f t="shared" si="1"/>
        <v>1199955.3385061817</v>
      </c>
      <c r="X80" s="78"/>
      <c r="AA80" t="s">
        <v>69</v>
      </c>
      <c r="AB80" s="2">
        <v>7.4115</v>
      </c>
      <c r="AC80" s="2">
        <v>1155</v>
      </c>
      <c r="AD80" s="2">
        <v>102.6753</v>
      </c>
      <c r="AE80" s="2">
        <v>213282.26</v>
      </c>
      <c r="AF80" s="2">
        <v>207725</v>
      </c>
      <c r="AG80" s="90">
        <v>7.62</v>
      </c>
      <c r="AH80" s="76">
        <f t="shared" si="2"/>
        <v>7.411457403503885</v>
      </c>
      <c r="AI80" s="77">
        <f t="shared" si="3"/>
        <v>1580732.3849130406</v>
      </c>
    </row>
    <row r="81" spans="15:35" ht="12.75">
      <c r="O81" s="73">
        <v>40952</v>
      </c>
      <c r="P81" s="74" t="s">
        <v>119</v>
      </c>
      <c r="Q81" s="74">
        <v>99.9954</v>
      </c>
      <c r="R81" s="75">
        <v>7.75</v>
      </c>
      <c r="S81" s="74">
        <v>7.9782</v>
      </c>
      <c r="T81" s="74">
        <v>74996.52</v>
      </c>
      <c r="U81" s="95">
        <v>74996.52</v>
      </c>
      <c r="V81" s="76">
        <f t="shared" si="0"/>
        <v>7.750039891905658</v>
      </c>
      <c r="W81" s="77">
        <f t="shared" si="1"/>
        <v>581226.0217541006</v>
      </c>
      <c r="X81" s="78"/>
      <c r="AA81" t="s">
        <v>69</v>
      </c>
      <c r="AB81" s="2">
        <v>7.4115</v>
      </c>
      <c r="AC81" s="2">
        <v>1155</v>
      </c>
      <c r="AD81" s="2">
        <v>102.6753</v>
      </c>
      <c r="AE81" s="2">
        <v>272277.82</v>
      </c>
      <c r="AF81" s="2">
        <v>265183.37</v>
      </c>
      <c r="AG81" s="90">
        <v>7.62</v>
      </c>
      <c r="AH81" s="76">
        <f t="shared" si="2"/>
        <v>7.411457403503885</v>
      </c>
      <c r="AI81" s="77">
        <f t="shared" si="3"/>
        <v>2017975.4648488981</v>
      </c>
    </row>
    <row r="82" spans="15:35" ht="12.75">
      <c r="O82" s="73">
        <v>40931</v>
      </c>
      <c r="P82" s="74" t="s">
        <v>119</v>
      </c>
      <c r="Q82" s="74">
        <v>99.9976</v>
      </c>
      <c r="R82" s="75">
        <v>8</v>
      </c>
      <c r="S82" s="74">
        <v>8.2432</v>
      </c>
      <c r="T82" s="74">
        <v>5999.85</v>
      </c>
      <c r="U82" s="95">
        <v>5999.85</v>
      </c>
      <c r="V82" s="76">
        <f aca="true" t="shared" si="13" ref="V82:V155">+((1+S82/100)^(90/360)-1)*(400)</f>
        <v>7.9999849228418185</v>
      </c>
      <c r="W82" s="77">
        <f aca="true" t="shared" si="14" ref="W82:W155">+V82*T82</f>
        <v>47998.70953931249</v>
      </c>
      <c r="X82" s="78"/>
      <c r="AA82" t="s">
        <v>69</v>
      </c>
      <c r="AB82" s="2">
        <v>8.4989</v>
      </c>
      <c r="AC82" s="2">
        <v>1789</v>
      </c>
      <c r="AD82" s="2">
        <v>100</v>
      </c>
      <c r="AE82" s="2">
        <v>40000</v>
      </c>
      <c r="AF82" s="2">
        <v>40000</v>
      </c>
      <c r="AG82" s="90">
        <v>8.7737</v>
      </c>
      <c r="AH82" s="76">
        <f aca="true" t="shared" si="15" ref="AH82:AH155">+((1+AG82/100)^(90/360)-1)*(400)</f>
        <v>8.498970836952502</v>
      </c>
      <c r="AI82" s="77">
        <f aca="true" t="shared" si="16" ref="AI82:AI155">+AH82*AE82</f>
        <v>339958.8334781001</v>
      </c>
    </row>
    <row r="83" spans="15:35" ht="12.75">
      <c r="O83" s="73">
        <v>40933</v>
      </c>
      <c r="P83" s="74" t="s">
        <v>119</v>
      </c>
      <c r="Q83" s="74">
        <v>99.9973</v>
      </c>
      <c r="R83" s="75">
        <v>8</v>
      </c>
      <c r="S83" s="74">
        <v>8.2432</v>
      </c>
      <c r="T83" s="74">
        <v>99997.26</v>
      </c>
      <c r="U83" s="95">
        <v>99997.26</v>
      </c>
      <c r="V83" s="76">
        <f t="shared" si="13"/>
        <v>7.9999849228418185</v>
      </c>
      <c r="W83" s="77">
        <f t="shared" si="14"/>
        <v>799976.5723254932</v>
      </c>
      <c r="X83" s="78"/>
      <c r="AA83" t="s">
        <v>69</v>
      </c>
      <c r="AB83" s="2">
        <v>8.4989</v>
      </c>
      <c r="AC83" s="2">
        <v>1789</v>
      </c>
      <c r="AD83" s="2">
        <v>100</v>
      </c>
      <c r="AE83" s="2">
        <v>30000</v>
      </c>
      <c r="AF83" s="2">
        <v>30000</v>
      </c>
      <c r="AG83" s="90">
        <v>8.7737</v>
      </c>
      <c r="AH83" s="76">
        <f t="shared" si="15"/>
        <v>8.498970836952502</v>
      </c>
      <c r="AI83" s="77">
        <f t="shared" si="16"/>
        <v>254969.12510857507</v>
      </c>
    </row>
    <row r="84" spans="15:35" ht="12.75">
      <c r="O84" s="73">
        <v>40935</v>
      </c>
      <c r="P84" s="74" t="s">
        <v>119</v>
      </c>
      <c r="Q84" s="74">
        <v>99.997</v>
      </c>
      <c r="R84" s="75">
        <v>8</v>
      </c>
      <c r="S84" s="74">
        <v>8.2432</v>
      </c>
      <c r="T84" s="74">
        <v>499984.86</v>
      </c>
      <c r="U84" s="95">
        <v>499984.86</v>
      </c>
      <c r="V84" s="76">
        <f t="shared" si="13"/>
        <v>7.9999849228418185</v>
      </c>
      <c r="W84" s="77">
        <f t="shared" si="14"/>
        <v>3999871.3416491775</v>
      </c>
      <c r="X84" s="78"/>
      <c r="AA84" t="s">
        <v>69</v>
      </c>
      <c r="AB84" s="2">
        <v>8.4989</v>
      </c>
      <c r="AC84" s="2">
        <v>1788</v>
      </c>
      <c r="AD84" s="2">
        <v>100</v>
      </c>
      <c r="AE84" s="2">
        <v>125000</v>
      </c>
      <c r="AF84" s="2">
        <v>125000</v>
      </c>
      <c r="AG84" s="90">
        <v>8.7736</v>
      </c>
      <c r="AH84" s="76">
        <f t="shared" si="15"/>
        <v>8.498876949571699</v>
      </c>
      <c r="AI84" s="77">
        <f t="shared" si="16"/>
        <v>1062359.6186964624</v>
      </c>
    </row>
    <row r="85" spans="15:35" ht="12.75">
      <c r="O85" s="73">
        <v>40918</v>
      </c>
      <c r="P85" s="74" t="s">
        <v>119</v>
      </c>
      <c r="Q85" s="74">
        <v>100</v>
      </c>
      <c r="R85" s="75">
        <v>8</v>
      </c>
      <c r="S85" s="74">
        <v>8.2432</v>
      </c>
      <c r="T85" s="74">
        <v>100000</v>
      </c>
      <c r="U85" s="95">
        <v>100000</v>
      </c>
      <c r="V85" s="76">
        <f t="shared" si="13"/>
        <v>7.9999849228418185</v>
      </c>
      <c r="W85" s="77">
        <f t="shared" si="14"/>
        <v>799998.4922841819</v>
      </c>
      <c r="X85" s="78"/>
      <c r="AA85" t="s">
        <v>69</v>
      </c>
      <c r="AB85" s="2">
        <v>7.75</v>
      </c>
      <c r="AC85" s="2">
        <v>1284</v>
      </c>
      <c r="AD85" s="2">
        <v>99.9964</v>
      </c>
      <c r="AE85" s="2">
        <v>14999.45</v>
      </c>
      <c r="AF85" s="2">
        <v>15000</v>
      </c>
      <c r="AG85" s="90">
        <v>7.9782</v>
      </c>
      <c r="AH85" s="76">
        <f t="shared" si="15"/>
        <v>7.750039891905658</v>
      </c>
      <c r="AI85" s="77">
        <f t="shared" si="16"/>
        <v>116246.33585664432</v>
      </c>
    </row>
    <row r="86" spans="15:35" ht="12.75">
      <c r="O86" s="73">
        <v>40919</v>
      </c>
      <c r="P86" s="74" t="s">
        <v>119</v>
      </c>
      <c r="Q86" s="74">
        <v>99.9998</v>
      </c>
      <c r="R86" s="75">
        <v>8</v>
      </c>
      <c r="S86" s="74">
        <v>8.2432</v>
      </c>
      <c r="T86" s="74">
        <v>19999.96</v>
      </c>
      <c r="U86" s="95">
        <v>19999.96</v>
      </c>
      <c r="V86" s="76">
        <f t="shared" si="13"/>
        <v>7.9999849228418185</v>
      </c>
      <c r="W86" s="77">
        <f t="shared" si="14"/>
        <v>159999.37845743945</v>
      </c>
      <c r="X86" s="78"/>
      <c r="AA86" t="s">
        <v>69</v>
      </c>
      <c r="AB86" s="2">
        <v>8</v>
      </c>
      <c r="AC86" s="2">
        <v>1397</v>
      </c>
      <c r="AD86" s="2">
        <v>99.9951</v>
      </c>
      <c r="AE86" s="2">
        <v>2999853</v>
      </c>
      <c r="AF86" s="2">
        <v>3000000</v>
      </c>
      <c r="AG86" s="90">
        <v>8.2432</v>
      </c>
      <c r="AH86" s="76">
        <f t="shared" si="15"/>
        <v>7.9999849228418185</v>
      </c>
      <c r="AI86" s="77">
        <f t="shared" si="16"/>
        <v>23998778.770741798</v>
      </c>
    </row>
    <row r="87" spans="15:35" ht="12.75">
      <c r="O87" s="73">
        <v>40917</v>
      </c>
      <c r="P87" s="74" t="s">
        <v>119</v>
      </c>
      <c r="Q87" s="74">
        <v>99.9979</v>
      </c>
      <c r="R87" s="75">
        <v>7.75</v>
      </c>
      <c r="S87" s="74">
        <v>7.9782</v>
      </c>
      <c r="T87" s="74">
        <v>29999.37</v>
      </c>
      <c r="U87" s="95">
        <v>29999.37</v>
      </c>
      <c r="V87" s="76">
        <f t="shared" si="13"/>
        <v>7.750039891905658</v>
      </c>
      <c r="W87" s="77">
        <f t="shared" si="14"/>
        <v>232496.31423203784</v>
      </c>
      <c r="X87" s="78"/>
      <c r="AA87" t="s">
        <v>69</v>
      </c>
      <c r="AB87" s="2">
        <v>6.25</v>
      </c>
      <c r="AC87" s="2">
        <v>1085</v>
      </c>
      <c r="AD87" s="2">
        <v>100</v>
      </c>
      <c r="AE87" s="2">
        <v>100000</v>
      </c>
      <c r="AF87" s="2">
        <v>100000</v>
      </c>
      <c r="AG87" s="90">
        <v>6.398</v>
      </c>
      <c r="AH87" s="76">
        <f t="shared" si="15"/>
        <v>6.24998452252985</v>
      </c>
      <c r="AI87" s="77">
        <f t="shared" si="16"/>
        <v>624998.452252985</v>
      </c>
    </row>
    <row r="88" spans="15:35" ht="12.75">
      <c r="O88" s="73">
        <v>40948</v>
      </c>
      <c r="P88" s="74" t="s">
        <v>119</v>
      </c>
      <c r="Q88" s="74">
        <v>99.9957</v>
      </c>
      <c r="R88" s="75">
        <v>8</v>
      </c>
      <c r="S88" s="74">
        <v>8.2432</v>
      </c>
      <c r="T88" s="74">
        <v>1396939.65</v>
      </c>
      <c r="U88" s="95">
        <v>1396939.65</v>
      </c>
      <c r="V88" s="76">
        <f t="shared" si="13"/>
        <v>7.9999849228418185</v>
      </c>
      <c r="W88" s="77">
        <f t="shared" si="14"/>
        <v>11175496.138119927</v>
      </c>
      <c r="X88" s="78"/>
      <c r="AA88" t="s">
        <v>69</v>
      </c>
      <c r="AB88" s="2">
        <v>0</v>
      </c>
      <c r="AC88" s="2">
        <v>1018</v>
      </c>
      <c r="AD88" s="2">
        <v>99.4301</v>
      </c>
      <c r="AE88" s="2">
        <v>497150.5</v>
      </c>
      <c r="AF88" s="2">
        <v>500000</v>
      </c>
      <c r="AG88" s="90">
        <v>6.8042</v>
      </c>
      <c r="AH88" s="76">
        <f t="shared" si="15"/>
        <v>6.637169946392696</v>
      </c>
      <c r="AI88" s="77">
        <f t="shared" si="16"/>
        <v>3299672.357434102</v>
      </c>
    </row>
    <row r="89" spans="15:35" ht="12.75">
      <c r="O89" s="73">
        <v>41017</v>
      </c>
      <c r="P89" s="74" t="s">
        <v>119</v>
      </c>
      <c r="Q89" s="74">
        <v>99.8415</v>
      </c>
      <c r="R89" s="75">
        <v>8.0634</v>
      </c>
      <c r="S89" s="74">
        <v>8.3105</v>
      </c>
      <c r="T89" s="74">
        <v>99841.5</v>
      </c>
      <c r="U89" s="95">
        <v>99841.5</v>
      </c>
      <c r="V89" s="76">
        <f t="shared" si="13"/>
        <v>8.063388442020969</v>
      </c>
      <c r="W89" s="77">
        <f t="shared" si="14"/>
        <v>805060.7971340365</v>
      </c>
      <c r="X89" s="78"/>
      <c r="AA89" t="s">
        <v>69</v>
      </c>
      <c r="AB89" s="2">
        <v>8.4988</v>
      </c>
      <c r="AC89" s="2">
        <v>1787</v>
      </c>
      <c r="AD89" s="2">
        <v>100</v>
      </c>
      <c r="AE89" s="2">
        <v>50000</v>
      </c>
      <c r="AF89" s="2">
        <v>50000</v>
      </c>
      <c r="AG89" s="90">
        <v>8.7735</v>
      </c>
      <c r="AH89" s="76">
        <f t="shared" si="15"/>
        <v>8.498783062126147</v>
      </c>
      <c r="AI89" s="77">
        <f t="shared" si="16"/>
        <v>424939.1531063074</v>
      </c>
    </row>
    <row r="90" spans="15:35" ht="12.75">
      <c r="O90" s="73">
        <v>40969</v>
      </c>
      <c r="P90" s="74" t="s">
        <v>156</v>
      </c>
      <c r="Q90" s="74">
        <v>99.38</v>
      </c>
      <c r="R90" s="75">
        <v>7.5</v>
      </c>
      <c r="S90" s="74">
        <v>7.7136</v>
      </c>
      <c r="T90" s="74">
        <v>218635.97</v>
      </c>
      <c r="U90" s="95">
        <v>218635.97</v>
      </c>
      <c r="V90" s="76">
        <f t="shared" si="13"/>
        <v>7.500012694114311</v>
      </c>
      <c r="W90" s="77">
        <f t="shared" si="14"/>
        <v>1639772.5503899956</v>
      </c>
      <c r="X90" s="78"/>
      <c r="AA90" t="s">
        <v>69</v>
      </c>
      <c r="AB90" s="2">
        <v>8.25</v>
      </c>
      <c r="AC90" s="2">
        <v>1079</v>
      </c>
      <c r="AD90" s="2">
        <v>99.9998</v>
      </c>
      <c r="AE90" s="2">
        <v>1999995.39</v>
      </c>
      <c r="AF90" s="2">
        <v>2000000</v>
      </c>
      <c r="AG90" s="90">
        <v>8.5088</v>
      </c>
      <c r="AH90" s="76">
        <f t="shared" si="15"/>
        <v>8.250035795761956</v>
      </c>
      <c r="AI90" s="77">
        <f t="shared" si="16"/>
        <v>16500033.558858894</v>
      </c>
    </row>
    <row r="91" spans="15:35" ht="12.75">
      <c r="O91" s="73">
        <v>40938</v>
      </c>
      <c r="P91" s="74" t="s">
        <v>111</v>
      </c>
      <c r="Q91" s="74">
        <v>102.0606</v>
      </c>
      <c r="R91" s="75">
        <v>6.8234</v>
      </c>
      <c r="S91" s="74">
        <v>7</v>
      </c>
      <c r="T91" s="74">
        <v>20412.12</v>
      </c>
      <c r="U91" s="95">
        <v>20412.12</v>
      </c>
      <c r="V91" s="76">
        <f t="shared" si="13"/>
        <v>6.82341000072455</v>
      </c>
      <c r="W91" s="77">
        <f t="shared" si="14"/>
        <v>139280.2637439896</v>
      </c>
      <c r="X91" s="78"/>
      <c r="AA91" t="s">
        <v>69</v>
      </c>
      <c r="AB91" s="2">
        <v>8.2497</v>
      </c>
      <c r="AC91" s="2">
        <v>1078</v>
      </c>
      <c r="AD91" s="2">
        <v>100</v>
      </c>
      <c r="AE91" s="2">
        <v>20000</v>
      </c>
      <c r="AF91" s="2">
        <v>20000</v>
      </c>
      <c r="AG91" s="90">
        <v>8.5085</v>
      </c>
      <c r="AH91" s="76">
        <f t="shared" si="15"/>
        <v>8.249753617870148</v>
      </c>
      <c r="AI91" s="77">
        <f t="shared" si="16"/>
        <v>164995.07235740297</v>
      </c>
    </row>
    <row r="92" spans="15:35" ht="12.75">
      <c r="O92" s="73">
        <v>40934</v>
      </c>
      <c r="P92" s="74" t="s">
        <v>111</v>
      </c>
      <c r="Q92" s="74">
        <v>102.4504</v>
      </c>
      <c r="R92" s="75">
        <v>6.7</v>
      </c>
      <c r="S92" s="74">
        <v>6.8702</v>
      </c>
      <c r="T92" s="74">
        <v>81960.3</v>
      </c>
      <c r="U92" s="95">
        <v>81960.3</v>
      </c>
      <c r="V92" s="76">
        <f t="shared" si="13"/>
        <v>6.699976081847314</v>
      </c>
      <c r="W92" s="77">
        <f t="shared" si="14"/>
        <v>549132.0496610304</v>
      </c>
      <c r="X92" s="77"/>
      <c r="AA92" t="s">
        <v>69</v>
      </c>
      <c r="AB92" s="2">
        <v>8.2495</v>
      </c>
      <c r="AC92" s="2">
        <v>1076</v>
      </c>
      <c r="AD92" s="2">
        <v>100</v>
      </c>
      <c r="AE92" s="2">
        <v>10000</v>
      </c>
      <c r="AF92" s="2">
        <v>10000</v>
      </c>
      <c r="AG92" s="90">
        <v>8.5082</v>
      </c>
      <c r="AH92" s="76">
        <f t="shared" si="15"/>
        <v>8.249471439393208</v>
      </c>
      <c r="AI92" s="77">
        <f t="shared" si="16"/>
        <v>82494.71439393208</v>
      </c>
    </row>
    <row r="93" spans="15:35" ht="12.75">
      <c r="O93" s="73">
        <v>41019</v>
      </c>
      <c r="P93" s="74" t="s">
        <v>111</v>
      </c>
      <c r="Q93" s="74">
        <v>103.3306</v>
      </c>
      <c r="R93" s="75">
        <v>6.3473</v>
      </c>
      <c r="S93" s="74">
        <v>6.5</v>
      </c>
      <c r="T93" s="74">
        <v>165328.89</v>
      </c>
      <c r="U93" s="95">
        <v>165328.89</v>
      </c>
      <c r="V93" s="76">
        <f t="shared" si="13"/>
        <v>6.347313913113428</v>
      </c>
      <c r="W93" s="77">
        <f t="shared" si="14"/>
        <v>1049394.3637365997</v>
      </c>
      <c r="X93" s="78"/>
      <c r="AA93" t="s">
        <v>69</v>
      </c>
      <c r="AB93" s="2">
        <v>8.2495</v>
      </c>
      <c r="AC93" s="2">
        <v>1076</v>
      </c>
      <c r="AD93" s="2">
        <v>99.9999</v>
      </c>
      <c r="AE93" s="2">
        <v>1499998.83</v>
      </c>
      <c r="AF93" s="2">
        <v>1500000</v>
      </c>
      <c r="AG93" s="90">
        <v>8.5082</v>
      </c>
      <c r="AH93" s="76">
        <f t="shared" si="15"/>
        <v>8.249471439393208</v>
      </c>
      <c r="AI93" s="77">
        <f t="shared" si="16"/>
        <v>12374197.507208228</v>
      </c>
    </row>
    <row r="94" spans="15:35" ht="12.75">
      <c r="O94" s="73">
        <v>40939</v>
      </c>
      <c r="P94" s="74" t="s">
        <v>122</v>
      </c>
      <c r="Q94" s="74">
        <v>100.27</v>
      </c>
      <c r="R94" s="75">
        <v>7.4563</v>
      </c>
      <c r="S94" s="74">
        <v>7.6674</v>
      </c>
      <c r="T94" s="74">
        <v>39755.05</v>
      </c>
      <c r="U94" s="95">
        <v>39755.05</v>
      </c>
      <c r="V94" s="76">
        <f t="shared" si="13"/>
        <v>7.456309927103177</v>
      </c>
      <c r="W94" s="77">
        <f t="shared" si="14"/>
        <v>296425.9739674832</v>
      </c>
      <c r="X94" s="78"/>
      <c r="AA94" t="s">
        <v>69</v>
      </c>
      <c r="AB94" s="2">
        <v>8.2488</v>
      </c>
      <c r="AC94" s="2">
        <v>1071</v>
      </c>
      <c r="AD94" s="2">
        <v>100</v>
      </c>
      <c r="AE94" s="2">
        <v>200000</v>
      </c>
      <c r="AF94" s="2">
        <v>200000</v>
      </c>
      <c r="AG94" s="90">
        <v>8.5075</v>
      </c>
      <c r="AH94" s="76">
        <f t="shared" si="15"/>
        <v>8.24881302067153</v>
      </c>
      <c r="AI94" s="77">
        <f t="shared" si="16"/>
        <v>1649762.604134306</v>
      </c>
    </row>
    <row r="95" spans="15:35" ht="12.75">
      <c r="O95" s="73">
        <v>40949</v>
      </c>
      <c r="P95" s="74" t="s">
        <v>133</v>
      </c>
      <c r="Q95" s="74">
        <v>100.6769</v>
      </c>
      <c r="R95" s="75">
        <v>6.55</v>
      </c>
      <c r="S95" s="74">
        <v>6.7126</v>
      </c>
      <c r="T95" s="74">
        <v>13369.89</v>
      </c>
      <c r="U95" s="95">
        <v>13369.89</v>
      </c>
      <c r="V95" s="76">
        <f t="shared" si="13"/>
        <v>6.549954391371404</v>
      </c>
      <c r="W95" s="77">
        <f t="shared" si="14"/>
        <v>87572.16971765262</v>
      </c>
      <c r="X95" s="78"/>
      <c r="AA95" t="s">
        <v>69</v>
      </c>
      <c r="AB95" s="2">
        <v>8.2487</v>
      </c>
      <c r="AC95" s="2">
        <v>1070</v>
      </c>
      <c r="AD95" s="2">
        <v>100</v>
      </c>
      <c r="AE95" s="2">
        <v>750000.17</v>
      </c>
      <c r="AF95" s="2">
        <v>750000</v>
      </c>
      <c r="AG95" s="90">
        <v>8.5074</v>
      </c>
      <c r="AH95" s="76">
        <f t="shared" si="15"/>
        <v>8.248718960594115</v>
      </c>
      <c r="AI95" s="77">
        <f t="shared" si="16"/>
        <v>6186540.6227278095</v>
      </c>
    </row>
    <row r="96" spans="15:35" ht="12.75">
      <c r="O96" s="73">
        <v>40949</v>
      </c>
      <c r="P96" s="74" t="s">
        <v>133</v>
      </c>
      <c r="Q96" s="74">
        <v>100.6769</v>
      </c>
      <c r="R96" s="75">
        <v>6.55</v>
      </c>
      <c r="S96" s="74">
        <v>6.7126</v>
      </c>
      <c r="T96" s="74">
        <v>6684.95</v>
      </c>
      <c r="U96" s="95">
        <v>6684.95</v>
      </c>
      <c r="V96" s="76">
        <f t="shared" si="13"/>
        <v>6.549954391371404</v>
      </c>
      <c r="W96" s="77">
        <f t="shared" si="14"/>
        <v>43786.117608598266</v>
      </c>
      <c r="X96" s="78"/>
      <c r="AA96" t="s">
        <v>69</v>
      </c>
      <c r="AB96" s="2">
        <v>8.2487</v>
      </c>
      <c r="AC96" s="2">
        <v>1070</v>
      </c>
      <c r="AD96" s="2">
        <v>100</v>
      </c>
      <c r="AE96" s="2">
        <v>10000</v>
      </c>
      <c r="AF96" s="2">
        <v>10000</v>
      </c>
      <c r="AG96" s="90">
        <v>8.5074</v>
      </c>
      <c r="AH96" s="76">
        <f t="shared" si="15"/>
        <v>8.248718960594115</v>
      </c>
      <c r="AI96" s="77">
        <f t="shared" si="16"/>
        <v>82487.18960594115</v>
      </c>
    </row>
    <row r="97" spans="15:35" ht="12.75">
      <c r="O97" s="73">
        <v>40949</v>
      </c>
      <c r="P97" s="74" t="s">
        <v>133</v>
      </c>
      <c r="Q97" s="74">
        <v>100.6769</v>
      </c>
      <c r="R97" s="75">
        <v>6.55</v>
      </c>
      <c r="S97" s="74">
        <v>6.7126</v>
      </c>
      <c r="T97" s="74">
        <v>3342.47</v>
      </c>
      <c r="U97" s="95">
        <v>3342.47</v>
      </c>
      <c r="V97" s="76">
        <f t="shared" si="13"/>
        <v>6.549954391371404</v>
      </c>
      <c r="W97" s="77">
        <f t="shared" si="14"/>
        <v>21893.026054527178</v>
      </c>
      <c r="X97" s="78"/>
      <c r="AA97" t="s">
        <v>69</v>
      </c>
      <c r="AB97" s="2">
        <v>7.9986</v>
      </c>
      <c r="AC97" s="2">
        <v>1364</v>
      </c>
      <c r="AD97" s="2">
        <v>100</v>
      </c>
      <c r="AE97" s="2">
        <v>100000</v>
      </c>
      <c r="AF97" s="2">
        <v>100000</v>
      </c>
      <c r="AG97" s="90">
        <v>8.2417</v>
      </c>
      <c r="AH97" s="76">
        <f t="shared" si="15"/>
        <v>7.998571431837842</v>
      </c>
      <c r="AI97" s="77">
        <f t="shared" si="16"/>
        <v>799857.1431837842</v>
      </c>
    </row>
    <row r="98" spans="15:35" ht="12.75">
      <c r="O98" s="73">
        <v>40980</v>
      </c>
      <c r="P98" s="74" t="s">
        <v>133</v>
      </c>
      <c r="Q98" s="74">
        <v>100.629</v>
      </c>
      <c r="R98" s="75">
        <v>0</v>
      </c>
      <c r="S98" s="74">
        <v>8.6683</v>
      </c>
      <c r="T98" s="74">
        <v>120754.8</v>
      </c>
      <c r="U98" s="95">
        <v>120754.8</v>
      </c>
      <c r="V98" s="76">
        <f t="shared" si="13"/>
        <v>8.399977593367414</v>
      </c>
      <c r="W98" s="77">
        <f t="shared" si="14"/>
        <v>1014337.6142915634</v>
      </c>
      <c r="X98" s="78"/>
      <c r="AA98" t="s">
        <v>69</v>
      </c>
      <c r="AB98" s="2">
        <v>7.5</v>
      </c>
      <c r="AC98" s="2">
        <v>1128</v>
      </c>
      <c r="AD98" s="2">
        <v>102.4233</v>
      </c>
      <c r="AE98" s="2">
        <v>204846.62</v>
      </c>
      <c r="AF98" s="2">
        <v>200000</v>
      </c>
      <c r="AG98" s="90">
        <v>7.7136</v>
      </c>
      <c r="AH98" s="76">
        <f t="shared" si="15"/>
        <v>7.500012694114311</v>
      </c>
      <c r="AI98" s="77">
        <f t="shared" si="16"/>
        <v>1536352.2503464103</v>
      </c>
    </row>
    <row r="99" spans="15:35" ht="12.75">
      <c r="O99" s="73">
        <v>40980</v>
      </c>
      <c r="P99" s="74" t="s">
        <v>133</v>
      </c>
      <c r="Q99" s="74">
        <v>100.629</v>
      </c>
      <c r="R99" s="75">
        <v>0</v>
      </c>
      <c r="S99" s="74">
        <v>8.6683</v>
      </c>
      <c r="T99" s="74">
        <v>150943.5</v>
      </c>
      <c r="U99" s="95">
        <v>150943.5</v>
      </c>
      <c r="V99" s="76">
        <f t="shared" si="13"/>
        <v>8.399977593367414</v>
      </c>
      <c r="W99" s="77">
        <f t="shared" si="14"/>
        <v>1267922.0178644543</v>
      </c>
      <c r="X99" s="77">
        <f>+SUM(W95:W99)/SUM(T95:T99)</f>
        <v>8.253294400200653</v>
      </c>
      <c r="Y99" s="77">
        <f>+SUM(W95:W99)</f>
        <v>2435510.945536796</v>
      </c>
      <c r="AA99" t="s">
        <v>69</v>
      </c>
      <c r="AB99" s="2">
        <v>8.4985</v>
      </c>
      <c r="AC99" s="2">
        <v>1783</v>
      </c>
      <c r="AD99" s="2">
        <v>100</v>
      </c>
      <c r="AE99" s="2">
        <v>200000</v>
      </c>
      <c r="AF99" s="2">
        <v>200000</v>
      </c>
      <c r="AG99" s="90">
        <v>8.7732</v>
      </c>
      <c r="AH99" s="76">
        <f t="shared" si="15"/>
        <v>8.498501399401182</v>
      </c>
      <c r="AI99" s="77">
        <f t="shared" si="16"/>
        <v>1699700.2798802364</v>
      </c>
    </row>
    <row r="100" spans="15:35" ht="12.75">
      <c r="O100" s="73">
        <v>40927</v>
      </c>
      <c r="P100" s="74" t="s">
        <v>123</v>
      </c>
      <c r="Q100" s="74">
        <v>100</v>
      </c>
      <c r="R100" s="75">
        <v>7.148</v>
      </c>
      <c r="S100" s="74">
        <v>7.3419</v>
      </c>
      <c r="T100" s="74">
        <v>1000000</v>
      </c>
      <c r="U100" s="95">
        <v>1000000</v>
      </c>
      <c r="V100" s="76">
        <f t="shared" si="13"/>
        <v>7.1480047812998215</v>
      </c>
      <c r="W100" s="77">
        <f t="shared" si="14"/>
        <v>7148004.781299821</v>
      </c>
      <c r="X100" s="78"/>
      <c r="AA100" t="s">
        <v>69</v>
      </c>
      <c r="AB100" s="2">
        <v>8.4985</v>
      </c>
      <c r="AC100" s="2">
        <v>1783</v>
      </c>
      <c r="AD100" s="2">
        <v>100</v>
      </c>
      <c r="AE100" s="2">
        <v>100000</v>
      </c>
      <c r="AF100" s="2">
        <v>100000</v>
      </c>
      <c r="AG100" s="90">
        <v>8.7732</v>
      </c>
      <c r="AH100" s="76">
        <f t="shared" si="15"/>
        <v>8.498501399401182</v>
      </c>
      <c r="AI100" s="77">
        <f t="shared" si="16"/>
        <v>849850.1399401182</v>
      </c>
    </row>
    <row r="101" spans="15:35" ht="12.75">
      <c r="O101" s="73">
        <v>41019</v>
      </c>
      <c r="P101" s="74" t="s">
        <v>134</v>
      </c>
      <c r="Q101" s="74">
        <v>101.9973</v>
      </c>
      <c r="R101" s="75">
        <v>6.8234</v>
      </c>
      <c r="S101" s="74">
        <v>7</v>
      </c>
      <c r="T101" s="74">
        <v>81597.86</v>
      </c>
      <c r="U101" s="95">
        <v>81597.86</v>
      </c>
      <c r="V101" s="76">
        <f t="shared" si="13"/>
        <v>6.82341000072455</v>
      </c>
      <c r="W101" s="77">
        <f t="shared" si="14"/>
        <v>556775.6539617217</v>
      </c>
      <c r="X101" s="78"/>
      <c r="AA101" t="s">
        <v>69</v>
      </c>
      <c r="AB101" s="2">
        <v>8.2483</v>
      </c>
      <c r="AC101" s="2">
        <v>1066</v>
      </c>
      <c r="AD101" s="2">
        <v>100</v>
      </c>
      <c r="AE101" s="2">
        <v>200000</v>
      </c>
      <c r="AF101" s="2">
        <v>200000</v>
      </c>
      <c r="AG101" s="90">
        <v>8.5069</v>
      </c>
      <c r="AH101" s="76">
        <f t="shared" si="15"/>
        <v>8.248248659231638</v>
      </c>
      <c r="AI101" s="77">
        <f t="shared" si="16"/>
        <v>1649649.7318463277</v>
      </c>
    </row>
    <row r="102" spans="15:35" ht="12.75">
      <c r="O102" s="73">
        <v>41019</v>
      </c>
      <c r="P102" s="74" t="s">
        <v>134</v>
      </c>
      <c r="Q102" s="74">
        <v>101.9973</v>
      </c>
      <c r="R102" s="75">
        <v>6.8234</v>
      </c>
      <c r="S102" s="74">
        <v>7</v>
      </c>
      <c r="T102" s="74">
        <v>81597.86</v>
      </c>
      <c r="U102" s="95">
        <v>81597.86</v>
      </c>
      <c r="V102" s="76">
        <f t="shared" si="13"/>
        <v>6.82341000072455</v>
      </c>
      <c r="W102" s="77">
        <f t="shared" si="14"/>
        <v>556775.6539617217</v>
      </c>
      <c r="X102" s="78"/>
      <c r="AA102" t="s">
        <v>69</v>
      </c>
      <c r="AB102" s="2">
        <v>0</v>
      </c>
      <c r="AC102" s="2">
        <v>660</v>
      </c>
      <c r="AD102" s="2">
        <v>100</v>
      </c>
      <c r="AE102" s="2">
        <v>250000</v>
      </c>
      <c r="AF102" s="2">
        <v>250000</v>
      </c>
      <c r="AG102" s="90">
        <v>6.6638</v>
      </c>
      <c r="AH102" s="76">
        <f t="shared" si="15"/>
        <v>6.503467282644504</v>
      </c>
      <c r="AI102" s="77">
        <f t="shared" si="16"/>
        <v>1625866.820661126</v>
      </c>
    </row>
    <row r="103" spans="15:35" ht="12.75">
      <c r="O103" s="73">
        <v>41010</v>
      </c>
      <c r="P103" s="74" t="s">
        <v>134</v>
      </c>
      <c r="Q103" s="74">
        <v>101.6633</v>
      </c>
      <c r="R103" s="75">
        <v>5.9652</v>
      </c>
      <c r="S103" s="74">
        <v>6.1</v>
      </c>
      <c r="T103" s="74">
        <v>49560.85</v>
      </c>
      <c r="U103" s="95">
        <v>49560.85</v>
      </c>
      <c r="V103" s="76">
        <f t="shared" si="13"/>
        <v>5.9652285692354035</v>
      </c>
      <c r="W103" s="77">
        <f t="shared" si="14"/>
        <v>295641.79833559046</v>
      </c>
      <c r="X103" s="78"/>
      <c r="AA103" t="s">
        <v>69</v>
      </c>
      <c r="AB103" s="2">
        <v>6.5</v>
      </c>
      <c r="AC103" s="2">
        <v>720</v>
      </c>
      <c r="AD103" s="2">
        <v>100</v>
      </c>
      <c r="AE103" s="2">
        <v>400000</v>
      </c>
      <c r="AF103" s="2">
        <v>400000</v>
      </c>
      <c r="AG103" s="90">
        <v>6.6602</v>
      </c>
      <c r="AH103" s="76">
        <f t="shared" si="15"/>
        <v>6.500037274046466</v>
      </c>
      <c r="AI103" s="77">
        <f t="shared" si="16"/>
        <v>2600014.9096185863</v>
      </c>
    </row>
    <row r="104" spans="15:35" ht="12.75">
      <c r="O104" s="73">
        <v>40940</v>
      </c>
      <c r="P104" s="74" t="s">
        <v>134</v>
      </c>
      <c r="Q104" s="74">
        <v>100.7919</v>
      </c>
      <c r="R104" s="75">
        <v>6.5372</v>
      </c>
      <c r="S104" s="74">
        <v>6.6992</v>
      </c>
      <c r="T104" s="74">
        <v>388048.82</v>
      </c>
      <c r="U104" s="95">
        <v>388048.82</v>
      </c>
      <c r="V104" s="76">
        <f t="shared" si="13"/>
        <v>6.537191076781124</v>
      </c>
      <c r="W104" s="77">
        <f t="shared" si="14"/>
        <v>2536749.2834594445</v>
      </c>
      <c r="X104" s="78"/>
      <c r="AA104" t="s">
        <v>69</v>
      </c>
      <c r="AB104" s="2">
        <v>0</v>
      </c>
      <c r="AC104" s="2">
        <v>660</v>
      </c>
      <c r="AD104" s="2">
        <v>100</v>
      </c>
      <c r="AE104" s="2">
        <v>850000</v>
      </c>
      <c r="AF104" s="2">
        <v>850000</v>
      </c>
      <c r="AG104" s="90">
        <v>6.6638</v>
      </c>
      <c r="AH104" s="76">
        <f t="shared" si="15"/>
        <v>6.503467282644504</v>
      </c>
      <c r="AI104" s="77">
        <f t="shared" si="16"/>
        <v>5527947.190247828</v>
      </c>
    </row>
    <row r="105" spans="15:35" ht="12.75">
      <c r="O105" s="73">
        <v>40954</v>
      </c>
      <c r="P105" s="74" t="s">
        <v>134</v>
      </c>
      <c r="Q105" s="74">
        <v>102.1036</v>
      </c>
      <c r="R105" s="75">
        <v>6.8234</v>
      </c>
      <c r="S105" s="74">
        <v>7</v>
      </c>
      <c r="T105" s="74">
        <v>20420.72</v>
      </c>
      <c r="U105" s="95">
        <v>20420.72</v>
      </c>
      <c r="V105" s="76">
        <f t="shared" si="13"/>
        <v>6.82341000072455</v>
      </c>
      <c r="W105" s="77">
        <f t="shared" si="14"/>
        <v>139338.94506999585</v>
      </c>
      <c r="X105" s="78"/>
      <c r="AA105" t="s">
        <v>69</v>
      </c>
      <c r="AB105" s="2">
        <v>8.25</v>
      </c>
      <c r="AC105" s="2">
        <v>1056</v>
      </c>
      <c r="AD105" s="2">
        <v>99.9959</v>
      </c>
      <c r="AE105" s="2">
        <v>1879922.72</v>
      </c>
      <c r="AF105" s="2">
        <v>1880000</v>
      </c>
      <c r="AG105" s="90">
        <v>8.5088</v>
      </c>
      <c r="AH105" s="76">
        <f t="shared" si="15"/>
        <v>8.250035795761956</v>
      </c>
      <c r="AI105" s="77">
        <f t="shared" si="16"/>
        <v>15509429.73326618</v>
      </c>
    </row>
    <row r="106" spans="15:35" ht="12.75">
      <c r="O106" s="73">
        <v>40954</v>
      </c>
      <c r="P106" s="74" t="s">
        <v>134</v>
      </c>
      <c r="Q106" s="74">
        <v>102.1036</v>
      </c>
      <c r="R106" s="75">
        <v>6.8234</v>
      </c>
      <c r="S106" s="74">
        <v>7</v>
      </c>
      <c r="T106" s="74">
        <v>20420.72</v>
      </c>
      <c r="U106" s="95">
        <v>20420.72</v>
      </c>
      <c r="V106" s="76">
        <f t="shared" si="13"/>
        <v>6.82341000072455</v>
      </c>
      <c r="W106" s="77">
        <f t="shared" si="14"/>
        <v>139338.94506999585</v>
      </c>
      <c r="X106" s="78"/>
      <c r="AA106" t="s">
        <v>69</v>
      </c>
      <c r="AB106" s="2">
        <v>8.25</v>
      </c>
      <c r="AC106" s="2">
        <v>1056</v>
      </c>
      <c r="AD106" s="2">
        <v>99.9959</v>
      </c>
      <c r="AE106" s="2">
        <v>99995.9</v>
      </c>
      <c r="AF106" s="2">
        <v>100000</v>
      </c>
      <c r="AG106" s="90">
        <v>8.5088</v>
      </c>
      <c r="AH106" s="76">
        <f t="shared" si="15"/>
        <v>8.250035795761956</v>
      </c>
      <c r="AI106" s="77">
        <f t="shared" si="16"/>
        <v>824969.7544294329</v>
      </c>
    </row>
    <row r="107" spans="15:35" ht="12.75">
      <c r="O107" s="73">
        <v>40954</v>
      </c>
      <c r="P107" s="74" t="s">
        <v>134</v>
      </c>
      <c r="Q107" s="74">
        <v>102.1036</v>
      </c>
      <c r="R107" s="75">
        <v>6.8234</v>
      </c>
      <c r="S107" s="74">
        <v>7</v>
      </c>
      <c r="T107" s="74">
        <v>20420.72</v>
      </c>
      <c r="U107" s="95">
        <v>20420.72</v>
      </c>
      <c r="V107" s="76">
        <f t="shared" si="13"/>
        <v>6.82341000072455</v>
      </c>
      <c r="W107" s="77">
        <f t="shared" si="14"/>
        <v>139338.94506999585</v>
      </c>
      <c r="X107" s="78"/>
      <c r="AA107" t="s">
        <v>69</v>
      </c>
      <c r="AB107" s="2">
        <v>8.2474</v>
      </c>
      <c r="AC107" s="2">
        <v>1056</v>
      </c>
      <c r="AD107" s="2">
        <v>100</v>
      </c>
      <c r="AE107" s="2">
        <v>100000</v>
      </c>
      <c r="AF107" s="2">
        <v>100000</v>
      </c>
      <c r="AG107" s="90">
        <v>8.506</v>
      </c>
      <c r="AH107" s="76">
        <f t="shared" si="15"/>
        <v>8.2474021126834</v>
      </c>
      <c r="AI107" s="77">
        <f t="shared" si="16"/>
        <v>824740.21126834</v>
      </c>
    </row>
    <row r="108" spans="15:35" ht="12.75">
      <c r="O108" s="73">
        <v>40996</v>
      </c>
      <c r="P108" s="74" t="s">
        <v>134</v>
      </c>
      <c r="Q108" s="74">
        <v>100.2552</v>
      </c>
      <c r="R108" s="75">
        <v>7.4398</v>
      </c>
      <c r="S108" s="74">
        <v>7.65</v>
      </c>
      <c r="T108" s="74">
        <v>80204.15</v>
      </c>
      <c r="U108" s="95">
        <v>80204.15</v>
      </c>
      <c r="V108" s="76">
        <f t="shared" si="13"/>
        <v>7.439846797374816</v>
      </c>
      <c r="W108" s="77">
        <f t="shared" si="14"/>
        <v>596706.5885136693</v>
      </c>
      <c r="X108" s="78"/>
      <c r="AA108" t="s">
        <v>69</v>
      </c>
      <c r="AB108" s="2">
        <v>0</v>
      </c>
      <c r="AC108" s="2">
        <v>1079</v>
      </c>
      <c r="AD108" s="2">
        <v>100.629</v>
      </c>
      <c r="AE108" s="2">
        <v>120754.8</v>
      </c>
      <c r="AF108" s="2">
        <v>120000</v>
      </c>
      <c r="AG108" s="90">
        <v>8.6683</v>
      </c>
      <c r="AH108" s="76">
        <f t="shared" si="15"/>
        <v>8.399977593367414</v>
      </c>
      <c r="AI108" s="77">
        <f t="shared" si="16"/>
        <v>1014337.6142915634</v>
      </c>
    </row>
    <row r="109" spans="15:35" ht="12.75">
      <c r="O109" s="73">
        <v>40939</v>
      </c>
      <c r="P109" s="74" t="s">
        <v>103</v>
      </c>
      <c r="Q109" s="74">
        <v>102.6753</v>
      </c>
      <c r="R109" s="75">
        <v>7.4115</v>
      </c>
      <c r="S109" s="74">
        <v>7.62</v>
      </c>
      <c r="T109" s="74">
        <v>213282.26</v>
      </c>
      <c r="U109" s="95">
        <v>213282.26</v>
      </c>
      <c r="V109" s="76">
        <f t="shared" si="13"/>
        <v>7.411457403503885</v>
      </c>
      <c r="W109" s="77">
        <f t="shared" si="14"/>
        <v>1580732.3849130406</v>
      </c>
      <c r="X109" s="78"/>
      <c r="AA109" t="s">
        <v>69</v>
      </c>
      <c r="AB109" s="2">
        <v>0</v>
      </c>
      <c r="AC109" s="2">
        <v>1079</v>
      </c>
      <c r="AD109" s="2">
        <v>100.629</v>
      </c>
      <c r="AE109" s="2">
        <v>150943.5</v>
      </c>
      <c r="AF109" s="2">
        <v>150000</v>
      </c>
      <c r="AG109" s="90">
        <v>8.6683</v>
      </c>
      <c r="AH109" s="76">
        <f t="shared" si="15"/>
        <v>8.399977593367414</v>
      </c>
      <c r="AI109" s="77">
        <f t="shared" si="16"/>
        <v>1267922.0178644543</v>
      </c>
    </row>
    <row r="110" spans="15:35" ht="12.75">
      <c r="O110" s="73">
        <v>40939</v>
      </c>
      <c r="P110" s="74" t="s">
        <v>103</v>
      </c>
      <c r="Q110" s="74">
        <v>102.6753</v>
      </c>
      <c r="R110" s="75">
        <v>7.4115</v>
      </c>
      <c r="S110" s="74">
        <v>7.62</v>
      </c>
      <c r="T110" s="74">
        <v>272277.82</v>
      </c>
      <c r="U110" s="95">
        <v>272277.82</v>
      </c>
      <c r="V110" s="76">
        <f t="shared" si="13"/>
        <v>7.411457403503885</v>
      </c>
      <c r="W110" s="77">
        <f t="shared" si="14"/>
        <v>2017975.4648488981</v>
      </c>
      <c r="X110" s="78"/>
      <c r="AA110" t="s">
        <v>69</v>
      </c>
      <c r="AB110" s="2">
        <v>8.4999</v>
      </c>
      <c r="AC110" s="2">
        <v>1799</v>
      </c>
      <c r="AD110" s="2">
        <v>100</v>
      </c>
      <c r="AE110" s="2">
        <v>100000</v>
      </c>
      <c r="AF110" s="2">
        <v>100000</v>
      </c>
      <c r="AG110" s="90">
        <v>8.7747</v>
      </c>
      <c r="AH110" s="76">
        <f t="shared" si="15"/>
        <v>8.499909707199915</v>
      </c>
      <c r="AI110" s="77">
        <f t="shared" si="16"/>
        <v>849990.9707199915</v>
      </c>
    </row>
    <row r="111" spans="15:35" ht="12.75">
      <c r="O111" s="73">
        <v>40913</v>
      </c>
      <c r="P111" s="74" t="s">
        <v>103</v>
      </c>
      <c r="Q111" s="74">
        <v>101.3055</v>
      </c>
      <c r="R111" s="75">
        <v>8.2</v>
      </c>
      <c r="S111" s="74">
        <v>8.4556</v>
      </c>
      <c r="T111" s="74">
        <v>506527.5</v>
      </c>
      <c r="U111" s="95">
        <v>506527.5</v>
      </c>
      <c r="V111" s="76">
        <f t="shared" si="13"/>
        <v>8.19998709879366</v>
      </c>
      <c r="W111" s="77">
        <f t="shared" si="14"/>
        <v>4153518.965184205</v>
      </c>
      <c r="X111" s="78"/>
      <c r="AA111" t="s">
        <v>69</v>
      </c>
      <c r="AB111" s="2">
        <v>8.5</v>
      </c>
      <c r="AC111" s="2">
        <v>1800</v>
      </c>
      <c r="AD111" s="2">
        <v>100</v>
      </c>
      <c r="AE111" s="2">
        <v>3000000</v>
      </c>
      <c r="AF111" s="2">
        <v>3000000</v>
      </c>
      <c r="AG111" s="90">
        <v>8.7748</v>
      </c>
      <c r="AH111" s="76">
        <f t="shared" si="15"/>
        <v>8.500003593868666</v>
      </c>
      <c r="AI111" s="77">
        <f t="shared" si="16"/>
        <v>25500010.781605996</v>
      </c>
    </row>
    <row r="112" spans="15:35" ht="12.75">
      <c r="O112" s="73">
        <v>40934</v>
      </c>
      <c r="P112" s="74" t="s">
        <v>103</v>
      </c>
      <c r="Q112" s="74">
        <v>102.377726</v>
      </c>
      <c r="R112" s="75">
        <v>7.5912</v>
      </c>
      <c r="S112" s="74">
        <v>7.81</v>
      </c>
      <c r="T112" s="74">
        <v>484152.84</v>
      </c>
      <c r="U112" s="95">
        <v>484152.84</v>
      </c>
      <c r="V112" s="76">
        <f t="shared" si="13"/>
        <v>7.5911567656317125</v>
      </c>
      <c r="W112" s="77">
        <f t="shared" si="14"/>
        <v>3675280.106965808</v>
      </c>
      <c r="X112" s="78"/>
      <c r="AA112" t="s">
        <v>69</v>
      </c>
      <c r="AB112" s="2">
        <v>8.2467</v>
      </c>
      <c r="AC112" s="2">
        <v>1041</v>
      </c>
      <c r="AD112" s="2">
        <v>100</v>
      </c>
      <c r="AE112" s="2">
        <v>130000</v>
      </c>
      <c r="AF112" s="2">
        <v>130000</v>
      </c>
      <c r="AG112" s="90">
        <v>8.5052</v>
      </c>
      <c r="AH112" s="76">
        <f t="shared" si="15"/>
        <v>8.246649622441637</v>
      </c>
      <c r="AI112" s="77">
        <f t="shared" si="16"/>
        <v>1072064.4509174128</v>
      </c>
    </row>
    <row r="113" spans="15:35" ht="12.75">
      <c r="O113" s="73">
        <v>40966</v>
      </c>
      <c r="P113" s="74" t="s">
        <v>103</v>
      </c>
      <c r="Q113" s="74">
        <v>102.4233</v>
      </c>
      <c r="R113" s="75">
        <v>7.5</v>
      </c>
      <c r="S113" s="74">
        <v>7.7136</v>
      </c>
      <c r="T113" s="74">
        <v>204846.62</v>
      </c>
      <c r="U113" s="95">
        <v>204846.62</v>
      </c>
      <c r="V113" s="76">
        <f t="shared" si="13"/>
        <v>7.500012694114311</v>
      </c>
      <c r="W113" s="77">
        <f t="shared" si="14"/>
        <v>1536352.2503464103</v>
      </c>
      <c r="X113" s="78"/>
      <c r="AA113" t="s">
        <v>69</v>
      </c>
      <c r="AB113" s="2">
        <v>8.2466</v>
      </c>
      <c r="AC113" s="2">
        <v>1040</v>
      </c>
      <c r="AD113" s="2">
        <v>100</v>
      </c>
      <c r="AE113" s="2">
        <v>200000</v>
      </c>
      <c r="AF113" s="2">
        <v>200000</v>
      </c>
      <c r="AG113" s="90">
        <v>8.5052</v>
      </c>
      <c r="AH113" s="76">
        <f t="shared" si="15"/>
        <v>8.246649622441637</v>
      </c>
      <c r="AI113" s="77">
        <f t="shared" si="16"/>
        <v>1649329.9244883275</v>
      </c>
    </row>
    <row r="114" spans="15:35" ht="12.75">
      <c r="O114" s="73">
        <v>40947</v>
      </c>
      <c r="P114" s="74" t="s">
        <v>124</v>
      </c>
      <c r="Q114" s="74">
        <v>96.768</v>
      </c>
      <c r="R114" s="75">
        <v>0</v>
      </c>
      <c r="S114" s="74">
        <v>9.5758</v>
      </c>
      <c r="T114" s="74">
        <v>967679.62</v>
      </c>
      <c r="U114" s="95">
        <v>967679.62</v>
      </c>
      <c r="V114" s="76">
        <f t="shared" si="13"/>
        <v>9.249967736011477</v>
      </c>
      <c r="W114" s="77">
        <f t="shared" si="14"/>
        <v>8951005.263795847</v>
      </c>
      <c r="X114" s="78"/>
      <c r="AA114" t="s">
        <v>69</v>
      </c>
      <c r="AB114" s="2">
        <v>8.4975</v>
      </c>
      <c r="AC114" s="2">
        <v>1758</v>
      </c>
      <c r="AD114" s="2">
        <v>100</v>
      </c>
      <c r="AE114" s="2">
        <v>25000</v>
      </c>
      <c r="AF114" s="2">
        <v>25000</v>
      </c>
      <c r="AG114" s="90">
        <v>8.7721</v>
      </c>
      <c r="AH114" s="76">
        <f t="shared" si="15"/>
        <v>8.497468631091465</v>
      </c>
      <c r="AI114" s="77">
        <f t="shared" si="16"/>
        <v>212436.71577728662</v>
      </c>
    </row>
    <row r="115" spans="15:35" ht="12.75">
      <c r="O115" s="73">
        <v>40947</v>
      </c>
      <c r="P115" s="74" t="s">
        <v>124</v>
      </c>
      <c r="Q115" s="74">
        <v>96.768</v>
      </c>
      <c r="R115" s="75">
        <v>0</v>
      </c>
      <c r="S115" s="74">
        <v>9.5758</v>
      </c>
      <c r="T115" s="74">
        <v>967679.62</v>
      </c>
      <c r="U115" s="95">
        <v>967679.62</v>
      </c>
      <c r="V115" s="76">
        <f t="shared" si="13"/>
        <v>9.249967736011477</v>
      </c>
      <c r="W115" s="77">
        <f t="shared" si="14"/>
        <v>8951005.263795847</v>
      </c>
      <c r="X115" s="78"/>
      <c r="AA115" t="s">
        <v>69</v>
      </c>
      <c r="AB115" s="2">
        <v>8.2467</v>
      </c>
      <c r="AC115" s="2">
        <v>1043</v>
      </c>
      <c r="AD115" s="2">
        <v>100</v>
      </c>
      <c r="AE115" s="2">
        <v>15000</v>
      </c>
      <c r="AF115" s="2">
        <v>15000</v>
      </c>
      <c r="AG115" s="90">
        <v>8.5053</v>
      </c>
      <c r="AH115" s="76">
        <f t="shared" si="15"/>
        <v>8.246743683949465</v>
      </c>
      <c r="AI115" s="77">
        <f t="shared" si="16"/>
        <v>123701.15525924196</v>
      </c>
    </row>
    <row r="116" spans="15:35" ht="12.75">
      <c r="O116" s="73">
        <v>40947</v>
      </c>
      <c r="P116" s="74" t="s">
        <v>124</v>
      </c>
      <c r="Q116" s="74">
        <v>96.768</v>
      </c>
      <c r="R116" s="75">
        <v>0</v>
      </c>
      <c r="S116" s="74">
        <v>9.5758</v>
      </c>
      <c r="T116" s="74">
        <v>967679.62</v>
      </c>
      <c r="U116" s="95">
        <v>967679.62</v>
      </c>
      <c r="V116" s="76">
        <f t="shared" si="13"/>
        <v>9.249967736011477</v>
      </c>
      <c r="W116" s="77">
        <f t="shared" si="14"/>
        <v>8951005.263795847</v>
      </c>
      <c r="X116" s="78"/>
      <c r="AA116" t="s">
        <v>69</v>
      </c>
      <c r="AB116" s="2">
        <v>6.8</v>
      </c>
      <c r="AC116" s="2">
        <v>400</v>
      </c>
      <c r="AD116" s="2">
        <v>99.8362</v>
      </c>
      <c r="AE116" s="2">
        <v>378574.17</v>
      </c>
      <c r="AF116" s="2">
        <v>379195</v>
      </c>
      <c r="AG116" s="90">
        <v>6.9754</v>
      </c>
      <c r="AH116" s="76">
        <f t="shared" si="15"/>
        <v>6.800025143648369</v>
      </c>
      <c r="AI116" s="77">
        <f t="shared" si="16"/>
        <v>2574313.874735812</v>
      </c>
    </row>
    <row r="117" spans="15:35" ht="12.75">
      <c r="O117" s="73">
        <v>40947</v>
      </c>
      <c r="P117" s="74" t="s">
        <v>124</v>
      </c>
      <c r="Q117" s="74">
        <v>96.768</v>
      </c>
      <c r="R117" s="75">
        <v>0</v>
      </c>
      <c r="S117" s="74">
        <v>9.5758</v>
      </c>
      <c r="T117" s="74">
        <v>967679.62</v>
      </c>
      <c r="U117" s="95">
        <v>967679.62</v>
      </c>
      <c r="V117" s="76">
        <f t="shared" si="13"/>
        <v>9.249967736011477</v>
      </c>
      <c r="W117" s="77">
        <f t="shared" si="14"/>
        <v>8951005.263795847</v>
      </c>
      <c r="AA117" t="s">
        <v>69</v>
      </c>
      <c r="AB117" s="2">
        <v>7.9981</v>
      </c>
      <c r="AC117" s="2">
        <v>1329</v>
      </c>
      <c r="AD117" s="2">
        <v>100</v>
      </c>
      <c r="AE117" s="2">
        <v>709762.41</v>
      </c>
      <c r="AF117" s="2">
        <v>709762.41</v>
      </c>
      <c r="AG117" s="90">
        <v>8.2412</v>
      </c>
      <c r="AH117" s="76">
        <f t="shared" si="15"/>
        <v>7.998100264905261</v>
      </c>
      <c r="AI117" s="77">
        <f t="shared" si="16"/>
        <v>5676750.919440797</v>
      </c>
    </row>
    <row r="118" spans="15:35" ht="12.75">
      <c r="O118" s="73">
        <v>40927</v>
      </c>
      <c r="P118" s="74" t="s">
        <v>124</v>
      </c>
      <c r="Q118" s="74">
        <v>96.7678</v>
      </c>
      <c r="R118" s="75">
        <v>9.25</v>
      </c>
      <c r="S118" s="74">
        <v>9.5758</v>
      </c>
      <c r="T118" s="74">
        <v>967678</v>
      </c>
      <c r="U118" s="95">
        <v>967678</v>
      </c>
      <c r="V118" s="76">
        <f t="shared" si="13"/>
        <v>9.249967736011477</v>
      </c>
      <c r="W118" s="77">
        <f t="shared" si="14"/>
        <v>8950990.278848113</v>
      </c>
      <c r="X118" s="78"/>
      <c r="AA118" t="s">
        <v>69</v>
      </c>
      <c r="AB118" s="2">
        <v>8.2467</v>
      </c>
      <c r="AC118" s="2">
        <v>1042</v>
      </c>
      <c r="AD118" s="2">
        <v>100</v>
      </c>
      <c r="AE118" s="2">
        <v>200000</v>
      </c>
      <c r="AF118" s="2">
        <v>200000</v>
      </c>
      <c r="AG118" s="90">
        <v>8.5052</v>
      </c>
      <c r="AH118" s="76">
        <f t="shared" si="15"/>
        <v>8.246649622441637</v>
      </c>
      <c r="AI118" s="77">
        <f t="shared" si="16"/>
        <v>1649329.9244883275</v>
      </c>
    </row>
    <row r="119" spans="15:35" ht="12.75">
      <c r="O119" s="73">
        <v>40927</v>
      </c>
      <c r="P119" s="74" t="s">
        <v>124</v>
      </c>
      <c r="Q119" s="74">
        <v>96.7678</v>
      </c>
      <c r="R119" s="75">
        <v>9.25</v>
      </c>
      <c r="S119" s="74">
        <v>9.5758</v>
      </c>
      <c r="T119" s="74">
        <v>774142.4</v>
      </c>
      <c r="U119" s="95">
        <v>774142.4</v>
      </c>
      <c r="V119" s="76">
        <f t="shared" si="13"/>
        <v>9.249967736011477</v>
      </c>
      <c r="W119" s="77">
        <f t="shared" si="14"/>
        <v>7160792.223078492</v>
      </c>
      <c r="X119" s="78"/>
      <c r="AA119" t="s">
        <v>69</v>
      </c>
      <c r="AB119" s="2">
        <v>7.998</v>
      </c>
      <c r="AC119" s="2">
        <v>1328</v>
      </c>
      <c r="AD119" s="2">
        <v>100</v>
      </c>
      <c r="AE119" s="2">
        <v>99366.74</v>
      </c>
      <c r="AF119" s="2">
        <v>99366.74</v>
      </c>
      <c r="AG119" s="90">
        <v>8.2411</v>
      </c>
      <c r="AH119" s="76">
        <f t="shared" si="15"/>
        <v>7.998006031322813</v>
      </c>
      <c r="AI119" s="77">
        <f t="shared" si="16"/>
        <v>794735.7858328859</v>
      </c>
    </row>
    <row r="120" spans="15:35" ht="12.75">
      <c r="O120" s="73">
        <v>40927</v>
      </c>
      <c r="P120" s="74" t="s">
        <v>124</v>
      </c>
      <c r="Q120" s="74">
        <v>96.7678</v>
      </c>
      <c r="R120" s="75">
        <v>9.25</v>
      </c>
      <c r="S120" s="74">
        <v>9.5758</v>
      </c>
      <c r="T120" s="74">
        <v>677374.6</v>
      </c>
      <c r="U120" s="95">
        <v>677374.6</v>
      </c>
      <c r="V120" s="76">
        <f t="shared" si="13"/>
        <v>9.249967736011477</v>
      </c>
      <c r="W120" s="77">
        <f t="shared" si="14"/>
        <v>6265693.19519368</v>
      </c>
      <c r="X120" s="78"/>
      <c r="AA120" t="s">
        <v>69</v>
      </c>
      <c r="AB120" s="2">
        <v>8.4983</v>
      </c>
      <c r="AC120" s="2">
        <v>1780</v>
      </c>
      <c r="AD120" s="2">
        <v>100</v>
      </c>
      <c r="AE120" s="2">
        <v>120000</v>
      </c>
      <c r="AF120" s="2">
        <v>120000</v>
      </c>
      <c r="AG120" s="90">
        <v>8.773</v>
      </c>
      <c r="AH120" s="76">
        <f t="shared" si="15"/>
        <v>8.498313623927523</v>
      </c>
      <c r="AI120" s="77">
        <f t="shared" si="16"/>
        <v>1019797.6348713028</v>
      </c>
    </row>
    <row r="121" spans="15:35" ht="12.75">
      <c r="O121" s="73">
        <v>40912</v>
      </c>
      <c r="P121" s="74" t="s">
        <v>124</v>
      </c>
      <c r="Q121" s="74">
        <v>100</v>
      </c>
      <c r="R121" s="75">
        <v>8.5</v>
      </c>
      <c r="S121" s="74">
        <v>8.7748</v>
      </c>
      <c r="T121" s="74">
        <v>1000000</v>
      </c>
      <c r="U121" s="95">
        <v>1000000</v>
      </c>
      <c r="V121" s="76">
        <f t="shared" si="13"/>
        <v>8.500003593868666</v>
      </c>
      <c r="W121" s="77">
        <f t="shared" si="14"/>
        <v>8500003.593868665</v>
      </c>
      <c r="X121" s="78"/>
      <c r="AA121" t="s">
        <v>69</v>
      </c>
      <c r="AB121" s="2">
        <v>8.4996</v>
      </c>
      <c r="AC121" s="2">
        <v>1796</v>
      </c>
      <c r="AD121" s="2">
        <v>100</v>
      </c>
      <c r="AE121" s="2">
        <v>15000</v>
      </c>
      <c r="AF121" s="2">
        <v>15000</v>
      </c>
      <c r="AG121" s="90">
        <v>8.7744</v>
      </c>
      <c r="AH121" s="76">
        <f t="shared" si="15"/>
        <v>8.49962804680544</v>
      </c>
      <c r="AI121" s="77">
        <f t="shared" si="16"/>
        <v>127494.42070208161</v>
      </c>
    </row>
    <row r="122" spans="15:35" ht="12.75">
      <c r="O122" s="73">
        <v>40912</v>
      </c>
      <c r="P122" s="74" t="s">
        <v>124</v>
      </c>
      <c r="Q122" s="74">
        <v>100</v>
      </c>
      <c r="R122" s="75">
        <v>7.5</v>
      </c>
      <c r="S122" s="74">
        <v>7.7136</v>
      </c>
      <c r="T122" s="74">
        <v>4000000</v>
      </c>
      <c r="U122" s="95">
        <v>4000000</v>
      </c>
      <c r="V122" s="76">
        <f t="shared" si="13"/>
        <v>7.500012694114311</v>
      </c>
      <c r="W122" s="77">
        <f t="shared" si="14"/>
        <v>30000050.776457243</v>
      </c>
      <c r="X122" s="78"/>
      <c r="AA122" t="s">
        <v>69</v>
      </c>
      <c r="AB122" s="2">
        <v>8.4996</v>
      </c>
      <c r="AC122" s="2">
        <v>1796</v>
      </c>
      <c r="AD122" s="2">
        <v>100</v>
      </c>
      <c r="AE122" s="2">
        <v>5000</v>
      </c>
      <c r="AF122" s="2">
        <v>5000</v>
      </c>
      <c r="AG122" s="90">
        <v>8.7744</v>
      </c>
      <c r="AH122" s="76">
        <f t="shared" si="15"/>
        <v>8.49962804680544</v>
      </c>
      <c r="AI122" s="77">
        <f t="shared" si="16"/>
        <v>42498.1402340272</v>
      </c>
    </row>
    <row r="123" spans="15:35" ht="12.75">
      <c r="O123" s="73">
        <v>40934</v>
      </c>
      <c r="P123" s="74" t="s">
        <v>124</v>
      </c>
      <c r="Q123" s="74">
        <v>96.7739</v>
      </c>
      <c r="R123" s="75">
        <v>0</v>
      </c>
      <c r="S123" s="74">
        <v>9.5758</v>
      </c>
      <c r="T123" s="74">
        <v>193547.8</v>
      </c>
      <c r="U123" s="95">
        <v>193547.8</v>
      </c>
      <c r="V123" s="76">
        <f t="shared" si="13"/>
        <v>9.249967736011477</v>
      </c>
      <c r="W123" s="77">
        <f t="shared" si="14"/>
        <v>1790310.9053760022</v>
      </c>
      <c r="X123" s="78"/>
      <c r="AA123" t="s">
        <v>69</v>
      </c>
      <c r="AB123" s="2">
        <v>8.4975</v>
      </c>
      <c r="AC123" s="2">
        <v>1750</v>
      </c>
      <c r="AD123" s="2">
        <v>100</v>
      </c>
      <c r="AE123" s="2">
        <v>150000</v>
      </c>
      <c r="AF123" s="2">
        <v>150000</v>
      </c>
      <c r="AG123" s="90">
        <v>8.7721</v>
      </c>
      <c r="AH123" s="76">
        <f t="shared" si="15"/>
        <v>8.497468631091465</v>
      </c>
      <c r="AI123" s="77">
        <f t="shared" si="16"/>
        <v>1274620.2946637198</v>
      </c>
    </row>
    <row r="124" spans="15:35" ht="12.75">
      <c r="O124" s="73">
        <v>40934</v>
      </c>
      <c r="P124" s="74" t="s">
        <v>124</v>
      </c>
      <c r="Q124" s="74">
        <v>96.7739</v>
      </c>
      <c r="R124" s="75">
        <v>0</v>
      </c>
      <c r="S124" s="74">
        <v>9.5758</v>
      </c>
      <c r="T124" s="74">
        <v>290321.68</v>
      </c>
      <c r="U124" s="95">
        <v>290321.68</v>
      </c>
      <c r="V124" s="76">
        <f t="shared" si="13"/>
        <v>9.249967736011477</v>
      </c>
      <c r="W124" s="77">
        <f t="shared" si="14"/>
        <v>2685466.1730646486</v>
      </c>
      <c r="X124" s="78"/>
      <c r="AA124" t="s">
        <v>69</v>
      </c>
      <c r="AB124" s="2">
        <v>8.4975</v>
      </c>
      <c r="AC124" s="2">
        <v>1746</v>
      </c>
      <c r="AD124" s="2">
        <v>100</v>
      </c>
      <c r="AE124" s="2">
        <v>100000</v>
      </c>
      <c r="AF124" s="2">
        <v>100000</v>
      </c>
      <c r="AG124" s="90">
        <v>8.7722</v>
      </c>
      <c r="AH124" s="76">
        <f t="shared" si="15"/>
        <v>8.497562519443314</v>
      </c>
      <c r="AI124" s="77">
        <f t="shared" si="16"/>
        <v>849756.2519443313</v>
      </c>
    </row>
    <row r="125" spans="15:35" ht="12.75">
      <c r="O125" s="73">
        <v>40934</v>
      </c>
      <c r="P125" s="74" t="s">
        <v>124</v>
      </c>
      <c r="Q125" s="74">
        <v>96.768</v>
      </c>
      <c r="R125" s="75">
        <v>0</v>
      </c>
      <c r="S125" s="74">
        <v>9.5758</v>
      </c>
      <c r="T125" s="74">
        <v>967679.62</v>
      </c>
      <c r="U125" s="95">
        <v>967679.62</v>
      </c>
      <c r="V125" s="76">
        <f t="shared" si="13"/>
        <v>9.249967736011477</v>
      </c>
      <c r="W125" s="77">
        <f t="shared" si="14"/>
        <v>8951005.263795847</v>
      </c>
      <c r="X125" s="78"/>
      <c r="AA125" t="s">
        <v>69</v>
      </c>
      <c r="AB125" s="2">
        <v>5.678</v>
      </c>
      <c r="AC125" s="2">
        <v>1417</v>
      </c>
      <c r="AD125" s="2">
        <v>103.6164</v>
      </c>
      <c r="AE125" s="2">
        <v>103616.41</v>
      </c>
      <c r="AF125" s="2">
        <v>100000</v>
      </c>
      <c r="AG125" s="90">
        <v>5.8</v>
      </c>
      <c r="AH125" s="76">
        <f t="shared" si="15"/>
        <v>5.677954964260401</v>
      </c>
      <c r="AI125" s="77">
        <f t="shared" si="16"/>
        <v>588329.3095383411</v>
      </c>
    </row>
    <row r="126" spans="15:35" ht="12.75">
      <c r="O126" s="73">
        <v>40934</v>
      </c>
      <c r="P126" s="74" t="s">
        <v>124</v>
      </c>
      <c r="Q126" s="74">
        <v>100</v>
      </c>
      <c r="R126" s="75">
        <v>0</v>
      </c>
      <c r="S126" s="74">
        <v>7.7136</v>
      </c>
      <c r="T126" s="74">
        <v>999999.71</v>
      </c>
      <c r="U126" s="95">
        <v>999999.71</v>
      </c>
      <c r="V126" s="76">
        <f t="shared" si="13"/>
        <v>7.500012694114311</v>
      </c>
      <c r="W126" s="77">
        <f t="shared" si="14"/>
        <v>7500010.519110629</v>
      </c>
      <c r="X126" s="78"/>
      <c r="AA126" t="s">
        <v>69</v>
      </c>
      <c r="AB126" s="2">
        <v>8.5</v>
      </c>
      <c r="AC126" s="2">
        <v>1786</v>
      </c>
      <c r="AD126" s="2">
        <v>99.9971</v>
      </c>
      <c r="AE126" s="2">
        <v>4679862.99</v>
      </c>
      <c r="AF126" s="2">
        <v>4680000</v>
      </c>
      <c r="AG126" s="90">
        <v>8.7748</v>
      </c>
      <c r="AH126" s="76">
        <f t="shared" si="15"/>
        <v>8.500003593868666</v>
      </c>
      <c r="AI126" s="77">
        <f t="shared" si="16"/>
        <v>39778852.233812965</v>
      </c>
    </row>
    <row r="127" spans="15:35" ht="12.75">
      <c r="O127" s="73">
        <v>40934</v>
      </c>
      <c r="P127" s="74" t="s">
        <v>124</v>
      </c>
      <c r="Q127" s="74">
        <v>100</v>
      </c>
      <c r="R127" s="75">
        <v>0</v>
      </c>
      <c r="S127" s="74">
        <v>7.7136</v>
      </c>
      <c r="T127" s="74">
        <v>999999.71</v>
      </c>
      <c r="U127" s="95">
        <v>999999.71</v>
      </c>
      <c r="V127" s="76">
        <f t="shared" si="13"/>
        <v>7.500012694114311</v>
      </c>
      <c r="W127" s="77">
        <f t="shared" si="14"/>
        <v>7500010.519110629</v>
      </c>
      <c r="X127" s="77">
        <f>+SUM(W114:W127)/SUM(T114:T127)</f>
        <v>8.486834922010269</v>
      </c>
      <c r="Y127" s="77">
        <f>+SUM(W114:W127)</f>
        <v>125108354.50308736</v>
      </c>
      <c r="AA127" t="s">
        <v>69</v>
      </c>
      <c r="AB127" s="2">
        <v>8</v>
      </c>
      <c r="AC127" s="2">
        <v>1309</v>
      </c>
      <c r="AD127" s="2">
        <v>99.9951</v>
      </c>
      <c r="AE127" s="2">
        <v>1892606.82</v>
      </c>
      <c r="AF127" s="2">
        <v>1892699.75</v>
      </c>
      <c r="AG127" s="90">
        <v>8.2432</v>
      </c>
      <c r="AH127" s="76">
        <f t="shared" si="15"/>
        <v>7.9999849228418185</v>
      </c>
      <c r="AI127" s="77">
        <f t="shared" si="16"/>
        <v>15140826.0248676</v>
      </c>
    </row>
    <row r="128" spans="15:35" ht="12.75">
      <c r="O128" s="73">
        <v>40920</v>
      </c>
      <c r="P128" s="74" t="s">
        <v>112</v>
      </c>
      <c r="Q128" s="74">
        <v>100</v>
      </c>
      <c r="R128" s="75">
        <v>6.25</v>
      </c>
      <c r="S128" s="74">
        <v>6.398</v>
      </c>
      <c r="T128" s="74">
        <v>100000</v>
      </c>
      <c r="U128" s="95">
        <v>100000</v>
      </c>
      <c r="V128" s="76">
        <f t="shared" si="13"/>
        <v>6.24998452252985</v>
      </c>
      <c r="W128" s="77">
        <f t="shared" si="14"/>
        <v>624998.452252985</v>
      </c>
      <c r="X128" s="78"/>
      <c r="AA128" t="s">
        <v>69</v>
      </c>
      <c r="AB128" s="2">
        <v>8.5</v>
      </c>
      <c r="AC128" s="2">
        <v>1800</v>
      </c>
      <c r="AD128" s="2">
        <v>100</v>
      </c>
      <c r="AE128" s="2">
        <v>1460000</v>
      </c>
      <c r="AF128" s="2">
        <v>1460000</v>
      </c>
      <c r="AG128" s="90">
        <v>8.7748</v>
      </c>
      <c r="AH128" s="76">
        <f t="shared" si="15"/>
        <v>8.500003593868666</v>
      </c>
      <c r="AI128" s="77">
        <f t="shared" si="16"/>
        <v>12410005.247048251</v>
      </c>
    </row>
    <row r="129" spans="15:35" ht="12.75">
      <c r="O129" s="73">
        <v>40940</v>
      </c>
      <c r="P129" s="74" t="s">
        <v>112</v>
      </c>
      <c r="Q129" s="74">
        <v>99.4301</v>
      </c>
      <c r="R129" s="75">
        <v>0</v>
      </c>
      <c r="S129" s="74">
        <v>6.8042</v>
      </c>
      <c r="T129" s="74">
        <v>497150.5</v>
      </c>
      <c r="U129" s="95">
        <v>497150.5</v>
      </c>
      <c r="V129" s="76">
        <f t="shared" si="13"/>
        <v>6.637169946392696</v>
      </c>
      <c r="W129" s="77">
        <f t="shared" si="14"/>
        <v>3299672.357434102</v>
      </c>
      <c r="X129" s="78"/>
      <c r="AA129" t="s">
        <v>69</v>
      </c>
      <c r="AB129" s="2">
        <v>8.4999</v>
      </c>
      <c r="AC129" s="2">
        <v>1799</v>
      </c>
      <c r="AD129" s="2">
        <v>100</v>
      </c>
      <c r="AE129" s="2">
        <v>190000</v>
      </c>
      <c r="AF129" s="2">
        <v>190000</v>
      </c>
      <c r="AG129" s="90">
        <v>8.7747</v>
      </c>
      <c r="AH129" s="76">
        <f t="shared" si="15"/>
        <v>8.499909707199915</v>
      </c>
      <c r="AI129" s="77">
        <f t="shared" si="16"/>
        <v>1614982.844367984</v>
      </c>
    </row>
    <row r="130" spans="15:35" ht="12.75">
      <c r="O130" s="73">
        <v>40945</v>
      </c>
      <c r="P130" s="74" t="s">
        <v>112</v>
      </c>
      <c r="Q130" s="74">
        <v>100</v>
      </c>
      <c r="R130" s="75">
        <v>0</v>
      </c>
      <c r="S130" s="74">
        <v>6.3967</v>
      </c>
      <c r="T130" s="74">
        <v>1000000</v>
      </c>
      <c r="U130" s="95">
        <v>1000000</v>
      </c>
      <c r="V130" s="76">
        <f t="shared" si="13"/>
        <v>6.248743598359052</v>
      </c>
      <c r="W130" s="77">
        <f t="shared" si="14"/>
        <v>6248743.598359052</v>
      </c>
      <c r="X130" s="77">
        <f>+SUM(W128:W130)/SUM(T128:T130)</f>
        <v>6.3697280926538475</v>
      </c>
      <c r="Y130" s="77">
        <f>+SUM(W128:W130)</f>
        <v>10173414.40804614</v>
      </c>
      <c r="AA130" t="s">
        <v>69</v>
      </c>
      <c r="AB130" s="2">
        <v>5.294</v>
      </c>
      <c r="AC130" s="2">
        <v>1377</v>
      </c>
      <c r="AD130" s="2">
        <v>105.7995</v>
      </c>
      <c r="AE130" s="2">
        <v>33855.84</v>
      </c>
      <c r="AF130" s="2">
        <v>32000</v>
      </c>
      <c r="AG130" s="90">
        <v>5.4</v>
      </c>
      <c r="AH130" s="76">
        <f t="shared" si="15"/>
        <v>5.293971614056492</v>
      </c>
      <c r="AI130" s="77">
        <f t="shared" si="16"/>
        <v>179231.85593003832</v>
      </c>
    </row>
    <row r="131" spans="15:35" ht="12.75">
      <c r="O131" s="73">
        <v>40941</v>
      </c>
      <c r="P131" s="74" t="s">
        <v>135</v>
      </c>
      <c r="Q131" s="74">
        <v>100.0674</v>
      </c>
      <c r="R131" s="75">
        <v>6.6674</v>
      </c>
      <c r="S131" s="74">
        <v>6.836</v>
      </c>
      <c r="T131" s="74">
        <v>200134.8</v>
      </c>
      <c r="U131" s="95">
        <v>200134.8</v>
      </c>
      <c r="V131" s="76">
        <f t="shared" si="13"/>
        <v>6.6674347170296855</v>
      </c>
      <c r="W131" s="77">
        <f t="shared" si="14"/>
        <v>1334385.7136057927</v>
      </c>
      <c r="X131" s="78"/>
      <c r="AA131" t="s">
        <v>69</v>
      </c>
      <c r="AB131" s="2">
        <v>5.0053</v>
      </c>
      <c r="AC131" s="2">
        <v>968</v>
      </c>
      <c r="AD131" s="2">
        <v>103.1043</v>
      </c>
      <c r="AE131" s="2">
        <v>14176.84</v>
      </c>
      <c r="AF131" s="2">
        <v>13750</v>
      </c>
      <c r="AG131" s="90">
        <v>5.1</v>
      </c>
      <c r="AH131" s="76">
        <f t="shared" si="15"/>
        <v>5.0052662391725455</v>
      </c>
      <c r="AI131" s="77">
        <f t="shared" si="16"/>
        <v>70958.8586301509</v>
      </c>
    </row>
    <row r="132" spans="15:35" ht="12.75">
      <c r="O132" s="73">
        <v>40935</v>
      </c>
      <c r="P132" s="74" t="s">
        <v>125</v>
      </c>
      <c r="Q132" s="74">
        <v>100</v>
      </c>
      <c r="R132" s="75">
        <v>8.4992</v>
      </c>
      <c r="S132" s="74">
        <v>8.7739</v>
      </c>
      <c r="T132" s="74">
        <v>550000.12</v>
      </c>
      <c r="U132" s="95">
        <v>550000.12</v>
      </c>
      <c r="V132" s="76">
        <f t="shared" si="13"/>
        <v>8.499158611519864</v>
      </c>
      <c r="W132" s="77">
        <f t="shared" si="14"/>
        <v>4674538.256234959</v>
      </c>
      <c r="X132" s="78"/>
      <c r="AA132" t="s">
        <v>69</v>
      </c>
      <c r="AB132" s="2">
        <v>5.0053</v>
      </c>
      <c r="AC132" s="2">
        <v>968</v>
      </c>
      <c r="AD132" s="2">
        <v>103.1043</v>
      </c>
      <c r="AE132" s="2">
        <v>14176.84</v>
      </c>
      <c r="AF132" s="2">
        <v>13750</v>
      </c>
      <c r="AG132" s="90">
        <v>5.1</v>
      </c>
      <c r="AH132" s="76">
        <f t="shared" si="15"/>
        <v>5.0052662391725455</v>
      </c>
      <c r="AI132" s="77">
        <f t="shared" si="16"/>
        <v>70958.8586301509</v>
      </c>
    </row>
    <row r="133" spans="15:35" ht="12.75">
      <c r="O133" s="73">
        <v>40935</v>
      </c>
      <c r="P133" s="74" t="s">
        <v>125</v>
      </c>
      <c r="Q133" s="74">
        <v>100</v>
      </c>
      <c r="R133" s="75">
        <v>8.4992</v>
      </c>
      <c r="S133" s="74">
        <v>8.7739</v>
      </c>
      <c r="T133" s="74">
        <v>210000.05</v>
      </c>
      <c r="U133" s="95">
        <v>210000.05</v>
      </c>
      <c r="V133" s="76">
        <f t="shared" si="13"/>
        <v>8.499158611519864</v>
      </c>
      <c r="W133" s="77">
        <f t="shared" si="14"/>
        <v>1784823.7333771018</v>
      </c>
      <c r="X133" s="78"/>
      <c r="AA133" t="s">
        <v>69</v>
      </c>
      <c r="AB133" s="2">
        <v>8.5</v>
      </c>
      <c r="AC133" s="2">
        <v>1779</v>
      </c>
      <c r="AD133" s="2">
        <v>99.996</v>
      </c>
      <c r="AE133" s="2">
        <v>4199832.46</v>
      </c>
      <c r="AF133" s="2">
        <v>4200000</v>
      </c>
      <c r="AG133" s="90">
        <v>8.7748</v>
      </c>
      <c r="AH133" s="76">
        <f t="shared" si="15"/>
        <v>8.500003593868666</v>
      </c>
      <c r="AI133" s="77">
        <f t="shared" si="16"/>
        <v>35698591.00364628</v>
      </c>
    </row>
    <row r="134" spans="15:35" ht="12.75">
      <c r="O134" s="73">
        <v>40935</v>
      </c>
      <c r="P134" s="74" t="s">
        <v>125</v>
      </c>
      <c r="Q134" s="74">
        <v>100</v>
      </c>
      <c r="R134" s="75">
        <v>8.4992</v>
      </c>
      <c r="S134" s="74">
        <v>8.774</v>
      </c>
      <c r="T134" s="74">
        <v>82000</v>
      </c>
      <c r="U134" s="95">
        <v>82000</v>
      </c>
      <c r="V134" s="76">
        <f t="shared" si="13"/>
        <v>8.499252498706422</v>
      </c>
      <c r="W134" s="77">
        <f t="shared" si="14"/>
        <v>696938.7048939266</v>
      </c>
      <c r="X134" s="78"/>
      <c r="AA134" t="s">
        <v>69</v>
      </c>
      <c r="AB134" s="2">
        <v>6.3473</v>
      </c>
      <c r="AC134" s="2">
        <v>1596</v>
      </c>
      <c r="AD134" s="2">
        <v>103.3306</v>
      </c>
      <c r="AE134" s="2">
        <v>165328.89</v>
      </c>
      <c r="AF134" s="2">
        <v>160000</v>
      </c>
      <c r="AG134" s="90">
        <v>6.5</v>
      </c>
      <c r="AH134" s="76">
        <f t="shared" si="15"/>
        <v>6.347313913113428</v>
      </c>
      <c r="AI134" s="77">
        <f t="shared" si="16"/>
        <v>1049394.3637365997</v>
      </c>
    </row>
    <row r="135" spans="15:35" ht="12.75">
      <c r="O135" s="73">
        <v>40934</v>
      </c>
      <c r="P135" s="74" t="s">
        <v>125</v>
      </c>
      <c r="Q135" s="74">
        <v>100</v>
      </c>
      <c r="R135" s="75">
        <v>8.4993</v>
      </c>
      <c r="S135" s="74">
        <v>8.7741</v>
      </c>
      <c r="T135" s="74">
        <v>1000000.01</v>
      </c>
      <c r="U135" s="95">
        <v>1000000.01</v>
      </c>
      <c r="V135" s="76">
        <f t="shared" si="13"/>
        <v>8.499346385828321</v>
      </c>
      <c r="W135" s="77">
        <f t="shared" si="14"/>
        <v>8499346.470821785</v>
      </c>
      <c r="X135" s="78"/>
      <c r="AA135" t="s">
        <v>69</v>
      </c>
      <c r="AB135" s="2">
        <v>4.8125</v>
      </c>
      <c r="AC135" s="2">
        <v>1084</v>
      </c>
      <c r="AD135" s="2">
        <v>105.2716</v>
      </c>
      <c r="AE135" s="2">
        <v>456177.15</v>
      </c>
      <c r="AF135" s="2">
        <v>433333.33</v>
      </c>
      <c r="AG135" s="90">
        <v>4.9</v>
      </c>
      <c r="AH135" s="76">
        <f t="shared" si="15"/>
        <v>4.812452441977033</v>
      </c>
      <c r="AI135" s="77">
        <f t="shared" si="16"/>
        <v>2195330.8394916235</v>
      </c>
    </row>
    <row r="136" spans="15:35" ht="12.75">
      <c r="O136" s="73">
        <v>40933</v>
      </c>
      <c r="P136" s="74" t="s">
        <v>125</v>
      </c>
      <c r="Q136" s="74">
        <v>100</v>
      </c>
      <c r="R136" s="75">
        <v>8.4994</v>
      </c>
      <c r="S136" s="74">
        <v>8.7742</v>
      </c>
      <c r="T136" s="74">
        <v>100000</v>
      </c>
      <c r="U136" s="95">
        <v>100000</v>
      </c>
      <c r="V136" s="76">
        <f t="shared" si="13"/>
        <v>8.499440272885384</v>
      </c>
      <c r="W136" s="77">
        <f t="shared" si="14"/>
        <v>849944.0272885384</v>
      </c>
      <c r="X136" s="78"/>
      <c r="AA136" t="s">
        <v>69</v>
      </c>
      <c r="AB136" s="2">
        <v>8.4986</v>
      </c>
      <c r="AC136" s="2">
        <v>1785</v>
      </c>
      <c r="AD136" s="2">
        <v>100</v>
      </c>
      <c r="AE136" s="2">
        <v>250000</v>
      </c>
      <c r="AF136" s="2">
        <v>250000</v>
      </c>
      <c r="AG136" s="90">
        <v>8.7733</v>
      </c>
      <c r="AH136" s="76">
        <f t="shared" si="15"/>
        <v>8.498595287040889</v>
      </c>
      <c r="AI136" s="77">
        <f t="shared" si="16"/>
        <v>2124648.8217602223</v>
      </c>
    </row>
    <row r="137" spans="15:35" ht="12.75">
      <c r="O137" s="73">
        <v>40927</v>
      </c>
      <c r="P137" s="74" t="s">
        <v>125</v>
      </c>
      <c r="Q137" s="74">
        <v>100</v>
      </c>
      <c r="R137" s="75">
        <v>8.5</v>
      </c>
      <c r="S137" s="74">
        <v>8.7748</v>
      </c>
      <c r="T137" s="74">
        <v>1500000</v>
      </c>
      <c r="U137" s="95">
        <v>1500000</v>
      </c>
      <c r="V137" s="76">
        <f t="shared" si="13"/>
        <v>8.500003593868666</v>
      </c>
      <c r="W137" s="77">
        <f t="shared" si="14"/>
        <v>12750005.390802998</v>
      </c>
      <c r="X137" s="78"/>
      <c r="AA137" t="s">
        <v>69</v>
      </c>
      <c r="AB137" s="2">
        <v>8.4986</v>
      </c>
      <c r="AC137" s="2">
        <v>1784</v>
      </c>
      <c r="AD137" s="2">
        <v>100</v>
      </c>
      <c r="AE137" s="2">
        <v>250000</v>
      </c>
      <c r="AF137" s="2">
        <v>250000</v>
      </c>
      <c r="AG137" s="90">
        <v>8.7733</v>
      </c>
      <c r="AH137" s="76">
        <f t="shared" si="15"/>
        <v>8.498595287040889</v>
      </c>
      <c r="AI137" s="77">
        <f t="shared" si="16"/>
        <v>2124648.8217602223</v>
      </c>
    </row>
    <row r="138" spans="15:37" ht="12.75">
      <c r="O138" s="73">
        <v>40945</v>
      </c>
      <c r="P138" s="74" t="s">
        <v>125</v>
      </c>
      <c r="Q138" s="74">
        <v>100</v>
      </c>
      <c r="R138" s="75">
        <v>8.4985</v>
      </c>
      <c r="S138" s="74">
        <v>8.7732</v>
      </c>
      <c r="T138" s="74">
        <v>150000</v>
      </c>
      <c r="U138" s="95">
        <v>150000</v>
      </c>
      <c r="V138" s="76">
        <f t="shared" si="13"/>
        <v>8.498501399401182</v>
      </c>
      <c r="W138" s="77">
        <f t="shared" si="14"/>
        <v>1274775.2099101772</v>
      </c>
      <c r="X138" s="78"/>
      <c r="AA138" t="s">
        <v>69</v>
      </c>
      <c r="AB138" s="2">
        <v>8</v>
      </c>
      <c r="AC138" s="2">
        <v>1085</v>
      </c>
      <c r="AD138" s="2">
        <v>100.6899</v>
      </c>
      <c r="AE138" s="2">
        <v>87264.62</v>
      </c>
      <c r="AF138" s="2">
        <v>86666.67</v>
      </c>
      <c r="AG138" s="90">
        <v>8.2432</v>
      </c>
      <c r="AH138" s="76">
        <f t="shared" si="15"/>
        <v>7.9999849228418185</v>
      </c>
      <c r="AI138" s="77">
        <f t="shared" si="16"/>
        <v>698115.6442975206</v>
      </c>
      <c r="AJ138" s="14">
        <f>+SUM(AI5:AI138)/SUM(AF5:AF138)</f>
        <v>8.103777285520302</v>
      </c>
      <c r="AK138" s="14">
        <f>+SUM(AI5:AI138)</f>
        <v>540075136.7005451</v>
      </c>
    </row>
    <row r="139" spans="15:35" ht="12.75">
      <c r="O139" s="73">
        <v>40941</v>
      </c>
      <c r="P139" s="74" t="s">
        <v>125</v>
      </c>
      <c r="Q139" s="74">
        <v>100</v>
      </c>
      <c r="R139" s="75">
        <v>8.4988</v>
      </c>
      <c r="S139" s="74">
        <v>8.7735</v>
      </c>
      <c r="T139" s="74">
        <v>50000</v>
      </c>
      <c r="U139" s="95">
        <v>50000</v>
      </c>
      <c r="V139" s="76">
        <f t="shared" si="13"/>
        <v>8.498783062126147</v>
      </c>
      <c r="W139" s="77">
        <f t="shared" si="14"/>
        <v>424939.1531063074</v>
      </c>
      <c r="X139" s="78"/>
      <c r="AA139" t="s">
        <v>23</v>
      </c>
      <c r="AB139" s="2">
        <v>6.8234</v>
      </c>
      <c r="AC139" s="2">
        <v>2214</v>
      </c>
      <c r="AD139" s="2">
        <v>101.9973</v>
      </c>
      <c r="AE139" s="2">
        <v>81597.86</v>
      </c>
      <c r="AF139" s="2">
        <v>80000</v>
      </c>
      <c r="AG139" s="90">
        <v>7</v>
      </c>
      <c r="AH139" s="76">
        <f t="shared" si="15"/>
        <v>6.82341000072455</v>
      </c>
      <c r="AI139" s="77">
        <f t="shared" si="16"/>
        <v>556775.6539617217</v>
      </c>
    </row>
    <row r="140" spans="15:35" ht="12.75">
      <c r="O140" s="73">
        <v>40939</v>
      </c>
      <c r="P140" s="74" t="s">
        <v>125</v>
      </c>
      <c r="Q140" s="74">
        <v>100</v>
      </c>
      <c r="R140" s="75">
        <v>8.4989</v>
      </c>
      <c r="S140" s="74">
        <v>8.7737</v>
      </c>
      <c r="T140" s="74">
        <v>40000</v>
      </c>
      <c r="U140" s="95">
        <v>40000</v>
      </c>
      <c r="V140" s="76">
        <f t="shared" si="13"/>
        <v>8.498970836952502</v>
      </c>
      <c r="W140" s="77">
        <f t="shared" si="14"/>
        <v>339958.8334781001</v>
      </c>
      <c r="X140" s="78"/>
      <c r="AA140" t="s">
        <v>23</v>
      </c>
      <c r="AB140" s="2">
        <v>6.8234</v>
      </c>
      <c r="AC140" s="2">
        <v>2214</v>
      </c>
      <c r="AD140" s="2">
        <v>101.9973</v>
      </c>
      <c r="AE140" s="2">
        <v>81597.86</v>
      </c>
      <c r="AF140" s="2">
        <v>80000</v>
      </c>
      <c r="AG140" s="90">
        <v>7</v>
      </c>
      <c r="AH140" s="76">
        <f t="shared" si="15"/>
        <v>6.82341000072455</v>
      </c>
      <c r="AI140" s="77">
        <f t="shared" si="16"/>
        <v>556775.6539617217</v>
      </c>
    </row>
    <row r="141" spans="15:35" ht="12.75">
      <c r="O141" s="73">
        <v>40939</v>
      </c>
      <c r="P141" s="74" t="s">
        <v>125</v>
      </c>
      <c r="Q141" s="74">
        <v>100</v>
      </c>
      <c r="R141" s="75">
        <v>8.4989</v>
      </c>
      <c r="S141" s="74">
        <v>8.7737</v>
      </c>
      <c r="T141" s="74">
        <v>30000</v>
      </c>
      <c r="U141" s="95">
        <v>30000</v>
      </c>
      <c r="V141" s="76">
        <f t="shared" si="13"/>
        <v>8.498970836952502</v>
      </c>
      <c r="W141" s="77">
        <f t="shared" si="14"/>
        <v>254969.12510857507</v>
      </c>
      <c r="X141" s="78"/>
      <c r="AA141" t="s">
        <v>23</v>
      </c>
      <c r="AB141" s="2">
        <v>0</v>
      </c>
      <c r="AC141" s="2">
        <v>732</v>
      </c>
      <c r="AD141" s="2">
        <v>100</v>
      </c>
      <c r="AE141" s="2">
        <v>25000</v>
      </c>
      <c r="AF141" s="2">
        <v>25000</v>
      </c>
      <c r="AG141" s="90">
        <v>6.9192</v>
      </c>
      <c r="AH141" s="76">
        <f t="shared" si="15"/>
        <v>6.746586066018168</v>
      </c>
      <c r="AI141" s="77">
        <f t="shared" si="16"/>
        <v>168664.65165045418</v>
      </c>
    </row>
    <row r="142" spans="15:35" ht="12.75">
      <c r="O142" s="73"/>
      <c r="P142" s="74"/>
      <c r="Q142" s="74"/>
      <c r="R142" s="75"/>
      <c r="S142" s="74"/>
      <c r="T142" s="74"/>
      <c r="U142" s="95"/>
      <c r="V142" s="76"/>
      <c r="W142" s="77"/>
      <c r="X142" s="78"/>
      <c r="AB142" s="2"/>
      <c r="AC142" s="2"/>
      <c r="AD142" s="2"/>
      <c r="AE142" s="2"/>
      <c r="AF142" s="2"/>
      <c r="AG142" s="90"/>
      <c r="AH142" s="76"/>
      <c r="AI142" s="77"/>
    </row>
    <row r="143" spans="15:35" ht="12.75">
      <c r="O143" s="73"/>
      <c r="P143" s="74"/>
      <c r="Q143" s="74"/>
      <c r="R143" s="75"/>
      <c r="S143" s="74"/>
      <c r="T143" s="74"/>
      <c r="U143" s="95"/>
      <c r="V143" s="76"/>
      <c r="W143" s="77"/>
      <c r="X143" s="78"/>
      <c r="AB143" s="2"/>
      <c r="AC143" s="2"/>
      <c r="AD143" s="2"/>
      <c r="AE143" s="2"/>
      <c r="AF143" s="2"/>
      <c r="AG143" s="90"/>
      <c r="AH143" s="76"/>
      <c r="AI143" s="77"/>
    </row>
    <row r="144" spans="15:35" ht="12.75">
      <c r="O144" s="73"/>
      <c r="P144" s="74"/>
      <c r="Q144" s="74"/>
      <c r="R144" s="75"/>
      <c r="S144" s="74"/>
      <c r="T144" s="74"/>
      <c r="U144" s="95"/>
      <c r="V144" s="76"/>
      <c r="W144" s="77"/>
      <c r="X144" s="78"/>
      <c r="AB144" s="2"/>
      <c r="AC144" s="2"/>
      <c r="AD144" s="2"/>
      <c r="AE144" s="2"/>
      <c r="AF144" s="2"/>
      <c r="AG144" s="90"/>
      <c r="AH144" s="76"/>
      <c r="AI144" s="77"/>
    </row>
    <row r="145" spans="15:35" ht="12.75">
      <c r="O145" s="73"/>
      <c r="P145" s="74"/>
      <c r="Q145" s="74"/>
      <c r="R145" s="75"/>
      <c r="S145" s="74"/>
      <c r="T145" s="74"/>
      <c r="U145" s="95"/>
      <c r="V145" s="76"/>
      <c r="W145" s="77"/>
      <c r="X145" s="78"/>
      <c r="AB145" s="2"/>
      <c r="AC145" s="2"/>
      <c r="AD145" s="2"/>
      <c r="AE145" s="2"/>
      <c r="AF145" s="2"/>
      <c r="AG145" s="90"/>
      <c r="AH145" s="76"/>
      <c r="AI145" s="77"/>
    </row>
    <row r="146" spans="15:35" ht="12.75">
      <c r="O146" s="73"/>
      <c r="P146" s="74"/>
      <c r="Q146" s="74"/>
      <c r="R146" s="75"/>
      <c r="S146" s="74"/>
      <c r="T146" s="74"/>
      <c r="U146" s="95"/>
      <c r="V146" s="76"/>
      <c r="W146" s="77"/>
      <c r="X146" s="78"/>
      <c r="AB146" s="2"/>
      <c r="AC146" s="2"/>
      <c r="AD146" s="2"/>
      <c r="AE146" s="2"/>
      <c r="AF146" s="2"/>
      <c r="AG146" s="90"/>
      <c r="AH146" s="76"/>
      <c r="AI146" s="77"/>
    </row>
    <row r="147" spans="15:35" ht="12.75">
      <c r="O147" s="73"/>
      <c r="P147" s="74"/>
      <c r="Q147" s="74"/>
      <c r="R147" s="75"/>
      <c r="S147" s="74"/>
      <c r="T147" s="74"/>
      <c r="U147" s="95"/>
      <c r="V147" s="76"/>
      <c r="W147" s="77"/>
      <c r="X147" s="78"/>
      <c r="AB147" s="2"/>
      <c r="AC147" s="2"/>
      <c r="AD147" s="2"/>
      <c r="AE147" s="2"/>
      <c r="AF147" s="2"/>
      <c r="AG147" s="90"/>
      <c r="AH147" s="76"/>
      <c r="AI147" s="77"/>
    </row>
    <row r="148" spans="15:35" ht="12.75">
      <c r="O148" s="73"/>
      <c r="P148" s="74"/>
      <c r="Q148" s="74"/>
      <c r="R148" s="75"/>
      <c r="S148" s="74"/>
      <c r="T148" s="74"/>
      <c r="U148" s="95"/>
      <c r="V148" s="76"/>
      <c r="W148" s="77"/>
      <c r="X148" s="78"/>
      <c r="AB148" s="2"/>
      <c r="AC148" s="2"/>
      <c r="AD148" s="2"/>
      <c r="AE148" s="2"/>
      <c r="AF148" s="2"/>
      <c r="AG148" s="90"/>
      <c r="AH148" s="76"/>
      <c r="AI148" s="77"/>
    </row>
    <row r="149" spans="15:35" ht="12.75">
      <c r="O149" s="73"/>
      <c r="P149" s="74"/>
      <c r="Q149" s="74"/>
      <c r="R149" s="75"/>
      <c r="S149" s="74"/>
      <c r="T149" s="74"/>
      <c r="U149" s="95"/>
      <c r="V149" s="76"/>
      <c r="W149" s="77"/>
      <c r="X149" s="78"/>
      <c r="AB149" s="2"/>
      <c r="AC149" s="2"/>
      <c r="AD149" s="2"/>
      <c r="AE149" s="2"/>
      <c r="AF149" s="2"/>
      <c r="AG149" s="90"/>
      <c r="AH149" s="76"/>
      <c r="AI149" s="77"/>
    </row>
    <row r="150" spans="15:35" ht="12.75">
      <c r="O150" s="73"/>
      <c r="P150" s="74"/>
      <c r="Q150" s="74"/>
      <c r="R150" s="75"/>
      <c r="S150" s="74"/>
      <c r="T150" s="74"/>
      <c r="U150" s="95"/>
      <c r="V150" s="76"/>
      <c r="W150" s="77"/>
      <c r="X150" s="78"/>
      <c r="AB150" s="2"/>
      <c r="AC150" s="2"/>
      <c r="AD150" s="2"/>
      <c r="AE150" s="2"/>
      <c r="AF150" s="2"/>
      <c r="AG150" s="90"/>
      <c r="AH150" s="76"/>
      <c r="AI150" s="77"/>
    </row>
    <row r="151" spans="15:35" ht="12.75">
      <c r="O151" s="73"/>
      <c r="P151" s="74"/>
      <c r="Q151" s="74"/>
      <c r="R151" s="75"/>
      <c r="S151" s="74"/>
      <c r="T151" s="74"/>
      <c r="U151" s="95"/>
      <c r="V151" s="76"/>
      <c r="W151" s="77"/>
      <c r="X151" s="78"/>
      <c r="AB151" s="2"/>
      <c r="AC151" s="2"/>
      <c r="AD151" s="2"/>
      <c r="AE151" s="2"/>
      <c r="AF151" s="2"/>
      <c r="AG151" s="90"/>
      <c r="AH151" s="76"/>
      <c r="AI151" s="77"/>
    </row>
    <row r="152" spans="15:35" ht="12.75">
      <c r="O152" s="73">
        <v>40939</v>
      </c>
      <c r="P152" s="74" t="s">
        <v>125</v>
      </c>
      <c r="Q152" s="74">
        <v>100</v>
      </c>
      <c r="R152" s="75">
        <v>8.4989</v>
      </c>
      <c r="S152" s="74">
        <v>8.7736</v>
      </c>
      <c r="T152" s="74">
        <v>125000</v>
      </c>
      <c r="U152" s="95">
        <v>125000</v>
      </c>
      <c r="V152" s="76">
        <f t="shared" si="13"/>
        <v>8.498876949571699</v>
      </c>
      <c r="W152" s="77">
        <f t="shared" si="14"/>
        <v>1062359.6186964624</v>
      </c>
      <c r="X152" s="78"/>
      <c r="AA152" t="s">
        <v>23</v>
      </c>
      <c r="AB152" s="2">
        <v>7.5</v>
      </c>
      <c r="AC152" s="2">
        <v>1016</v>
      </c>
      <c r="AD152" s="2">
        <v>99.38</v>
      </c>
      <c r="AE152" s="2">
        <v>218635.97</v>
      </c>
      <c r="AF152" s="2">
        <v>220000</v>
      </c>
      <c r="AG152" s="90">
        <v>7.7136</v>
      </c>
      <c r="AH152" s="76">
        <f t="shared" si="15"/>
        <v>7.500012694114311</v>
      </c>
      <c r="AI152" s="77">
        <f t="shared" si="16"/>
        <v>1639772.5503899956</v>
      </c>
    </row>
    <row r="153" spans="15:35" ht="12.75">
      <c r="O153" s="73">
        <v>40939</v>
      </c>
      <c r="P153" s="74" t="s">
        <v>125</v>
      </c>
      <c r="Q153" s="74">
        <v>100</v>
      </c>
      <c r="R153" s="75">
        <v>8.4989</v>
      </c>
      <c r="S153" s="74">
        <v>8.7737</v>
      </c>
      <c r="T153" s="74">
        <v>175000</v>
      </c>
      <c r="U153" s="95">
        <v>175000</v>
      </c>
      <c r="V153" s="76">
        <f t="shared" si="13"/>
        <v>8.498970836952502</v>
      </c>
      <c r="W153" s="77">
        <f t="shared" si="14"/>
        <v>1487319.8964666878</v>
      </c>
      <c r="X153" s="78"/>
      <c r="AA153" t="s">
        <v>23</v>
      </c>
      <c r="AB153" s="2">
        <v>5.9652</v>
      </c>
      <c r="AC153" s="2">
        <v>1145</v>
      </c>
      <c r="AD153" s="2">
        <v>101.6633</v>
      </c>
      <c r="AE153" s="2">
        <v>49560.85</v>
      </c>
      <c r="AF153" s="2">
        <v>48750</v>
      </c>
      <c r="AG153" s="90">
        <v>6.1</v>
      </c>
      <c r="AH153" s="76">
        <f t="shared" si="15"/>
        <v>5.9652285692354035</v>
      </c>
      <c r="AI153" s="77">
        <f t="shared" si="16"/>
        <v>295641.79833559046</v>
      </c>
    </row>
    <row r="154" spans="15:35" ht="12.75">
      <c r="O154" s="73">
        <v>40939</v>
      </c>
      <c r="P154" s="74" t="s">
        <v>125</v>
      </c>
      <c r="Q154" s="74">
        <v>100</v>
      </c>
      <c r="R154" s="75">
        <v>8.4989</v>
      </c>
      <c r="S154" s="74">
        <v>8.7737</v>
      </c>
      <c r="T154" s="74">
        <v>500000</v>
      </c>
      <c r="U154" s="95">
        <v>500000</v>
      </c>
      <c r="V154" s="76">
        <f t="shared" si="13"/>
        <v>8.498970836952502</v>
      </c>
      <c r="W154" s="77">
        <f t="shared" si="14"/>
        <v>4249485.418476251</v>
      </c>
      <c r="X154" s="78"/>
      <c r="AA154" t="s">
        <v>23</v>
      </c>
      <c r="AB154" s="2">
        <v>0</v>
      </c>
      <c r="AC154" s="2">
        <v>754</v>
      </c>
      <c r="AD154" s="2">
        <v>100</v>
      </c>
      <c r="AE154" s="2">
        <v>6000</v>
      </c>
      <c r="AF154" s="2">
        <v>6000</v>
      </c>
      <c r="AG154" s="90">
        <v>6.9142</v>
      </c>
      <c r="AH154" s="76">
        <f t="shared" si="15"/>
        <v>6.741830679249272</v>
      </c>
      <c r="AI154" s="77">
        <f t="shared" si="16"/>
        <v>40450.98407549563</v>
      </c>
    </row>
    <row r="155" spans="15:35" ht="12.75">
      <c r="O155" s="73">
        <v>40966</v>
      </c>
      <c r="P155" s="74" t="s">
        <v>125</v>
      </c>
      <c r="Q155" s="74">
        <v>100</v>
      </c>
      <c r="R155" s="75">
        <v>8.4985</v>
      </c>
      <c r="S155" s="74">
        <v>8.7732</v>
      </c>
      <c r="T155" s="74">
        <v>200000</v>
      </c>
      <c r="U155" s="95">
        <v>200000</v>
      </c>
      <c r="V155" s="76">
        <f t="shared" si="13"/>
        <v>8.498501399401182</v>
      </c>
      <c r="W155" s="77">
        <f t="shared" si="14"/>
        <v>1699700.2798802364</v>
      </c>
      <c r="X155" s="78"/>
      <c r="AA155" t="s">
        <v>23</v>
      </c>
      <c r="AB155" s="2">
        <v>7.4398</v>
      </c>
      <c r="AC155" s="2">
        <v>2239</v>
      </c>
      <c r="AD155" s="2">
        <v>100.2552</v>
      </c>
      <c r="AE155" s="2">
        <v>80204.15</v>
      </c>
      <c r="AF155" s="2">
        <v>80000</v>
      </c>
      <c r="AG155" s="90">
        <v>7.65</v>
      </c>
      <c r="AH155" s="76">
        <f t="shared" si="15"/>
        <v>7.439846797374816</v>
      </c>
      <c r="AI155" s="77">
        <f t="shared" si="16"/>
        <v>596706.5885136693</v>
      </c>
    </row>
    <row r="156" spans="15:35" ht="12.75">
      <c r="O156" s="73">
        <v>40966</v>
      </c>
      <c r="P156" s="74" t="s">
        <v>125</v>
      </c>
      <c r="Q156" s="74">
        <v>100</v>
      </c>
      <c r="R156" s="75">
        <v>8.4985</v>
      </c>
      <c r="S156" s="74">
        <v>8.7732</v>
      </c>
      <c r="T156" s="74">
        <v>100000</v>
      </c>
      <c r="U156" s="95">
        <v>100000</v>
      </c>
      <c r="V156" s="76">
        <f aca="true" t="shared" si="17" ref="V156:V209">+((1+S156/100)^(90/360)-1)*(400)</f>
        <v>8.498501399401182</v>
      </c>
      <c r="W156" s="77">
        <f aca="true" t="shared" si="18" ref="W156:W209">+V156*T156</f>
        <v>849850.1399401182</v>
      </c>
      <c r="X156" s="78"/>
      <c r="AA156" t="s">
        <v>23</v>
      </c>
      <c r="AB156" s="2">
        <v>0</v>
      </c>
      <c r="AC156" s="2">
        <v>730</v>
      </c>
      <c r="AD156" s="2">
        <v>100</v>
      </c>
      <c r="AE156" s="2">
        <v>1000000</v>
      </c>
      <c r="AF156" s="2">
        <v>1000000</v>
      </c>
      <c r="AG156" s="90">
        <v>6.6582</v>
      </c>
      <c r="AH156" s="76">
        <f aca="true" t="shared" si="19" ref="AH156:AH209">+((1+AG156/100)^(90/360)-1)*(400)</f>
        <v>6.498131676196106</v>
      </c>
      <c r="AI156" s="77">
        <f aca="true" t="shared" si="20" ref="AI156:AI209">+AH156*AE156</f>
        <v>6498131.676196106</v>
      </c>
    </row>
    <row r="157" spans="15:35" ht="12.75">
      <c r="O157" s="73">
        <v>40973</v>
      </c>
      <c r="P157" s="74" t="s">
        <v>125</v>
      </c>
      <c r="Q157" s="74">
        <v>100</v>
      </c>
      <c r="R157" s="75">
        <v>8.498</v>
      </c>
      <c r="S157" s="74">
        <v>8.7727</v>
      </c>
      <c r="T157" s="74">
        <v>400000</v>
      </c>
      <c r="U157" s="95">
        <v>400000</v>
      </c>
      <c r="V157" s="76">
        <f t="shared" si="17"/>
        <v>8.498031960231511</v>
      </c>
      <c r="W157" s="77">
        <f t="shared" si="18"/>
        <v>3399212.7840926046</v>
      </c>
      <c r="X157" s="78"/>
      <c r="AA157" t="s">
        <v>23</v>
      </c>
      <c r="AB157" s="2">
        <v>0</v>
      </c>
      <c r="AC157" s="2">
        <v>646</v>
      </c>
      <c r="AD157" s="2">
        <v>190</v>
      </c>
      <c r="AE157" s="2">
        <v>1900000</v>
      </c>
      <c r="AF157" s="2">
        <v>1000000</v>
      </c>
      <c r="AG157" s="90">
        <v>6.3637</v>
      </c>
      <c r="AH157" s="76">
        <f t="shared" si="19"/>
        <v>6.217239406741726</v>
      </c>
      <c r="AI157" s="77">
        <f t="shared" si="20"/>
        <v>11812754.87280928</v>
      </c>
    </row>
    <row r="158" spans="15:35" ht="12.75">
      <c r="O158" s="73">
        <v>40998</v>
      </c>
      <c r="P158" s="74" t="s">
        <v>125</v>
      </c>
      <c r="Q158" s="74">
        <v>100</v>
      </c>
      <c r="R158" s="75">
        <v>8.4975</v>
      </c>
      <c r="S158" s="74">
        <v>8.7721</v>
      </c>
      <c r="T158" s="74">
        <v>150000</v>
      </c>
      <c r="U158" s="95">
        <v>150000</v>
      </c>
      <c r="V158" s="76">
        <f t="shared" si="17"/>
        <v>8.497468631091465</v>
      </c>
      <c r="W158" s="77">
        <f t="shared" si="18"/>
        <v>1274620.2946637198</v>
      </c>
      <c r="X158" s="78"/>
      <c r="AA158" t="s">
        <v>23</v>
      </c>
      <c r="AB158" s="2">
        <v>0</v>
      </c>
      <c r="AC158" s="2">
        <v>4876</v>
      </c>
      <c r="AD158" s="2">
        <v>100</v>
      </c>
      <c r="AE158" s="2">
        <v>1000</v>
      </c>
      <c r="AF158" s="2">
        <v>1000</v>
      </c>
      <c r="AG158" s="90">
        <v>0</v>
      </c>
      <c r="AH158" s="76">
        <f t="shared" si="19"/>
        <v>0</v>
      </c>
      <c r="AI158" s="77">
        <f t="shared" si="20"/>
        <v>0</v>
      </c>
    </row>
    <row r="159" spans="15:35" ht="12.75">
      <c r="O159" s="73">
        <v>41003</v>
      </c>
      <c r="P159" s="74" t="s">
        <v>125</v>
      </c>
      <c r="Q159" s="74">
        <v>100</v>
      </c>
      <c r="R159" s="75">
        <v>8.4975</v>
      </c>
      <c r="S159" s="74">
        <v>8.7722</v>
      </c>
      <c r="T159" s="74">
        <v>100000</v>
      </c>
      <c r="U159" s="95">
        <v>100000</v>
      </c>
      <c r="V159" s="76">
        <f t="shared" si="17"/>
        <v>8.497562519443314</v>
      </c>
      <c r="W159" s="77">
        <f t="shared" si="18"/>
        <v>849756.2519443313</v>
      </c>
      <c r="X159" s="78"/>
      <c r="AA159" t="s">
        <v>23</v>
      </c>
      <c r="AB159" s="2">
        <v>0</v>
      </c>
      <c r="AC159" s="2">
        <v>769</v>
      </c>
      <c r="AD159" s="2">
        <v>100</v>
      </c>
      <c r="AE159" s="2">
        <v>26000</v>
      </c>
      <c r="AF159" s="2">
        <v>26000</v>
      </c>
      <c r="AG159" s="90">
        <v>6.9118</v>
      </c>
      <c r="AH159" s="76">
        <f t="shared" si="19"/>
        <v>6.73954803435457</v>
      </c>
      <c r="AI159" s="77">
        <f t="shared" si="20"/>
        <v>175228.2488932188</v>
      </c>
    </row>
    <row r="160" spans="15:35" ht="12.75">
      <c r="O160" s="73">
        <v>40990</v>
      </c>
      <c r="P160" s="74" t="s">
        <v>125</v>
      </c>
      <c r="Q160" s="74">
        <v>100</v>
      </c>
      <c r="R160" s="75">
        <v>8.4975</v>
      </c>
      <c r="S160" s="74">
        <v>8.7721</v>
      </c>
      <c r="T160" s="74">
        <v>25000</v>
      </c>
      <c r="U160" s="95">
        <v>25000</v>
      </c>
      <c r="V160" s="76">
        <f t="shared" si="17"/>
        <v>8.497468631091465</v>
      </c>
      <c r="W160" s="77">
        <f t="shared" si="18"/>
        <v>212436.71577728662</v>
      </c>
      <c r="X160" s="78"/>
      <c r="AA160" t="s">
        <v>23</v>
      </c>
      <c r="AB160" s="2">
        <v>0</v>
      </c>
      <c r="AC160" s="2">
        <v>1613</v>
      </c>
      <c r="AD160" s="2">
        <v>100</v>
      </c>
      <c r="AE160" s="2">
        <v>2440201.66</v>
      </c>
      <c r="AF160" s="2">
        <v>2440201.66</v>
      </c>
      <c r="AG160" s="90">
        <v>6.0198</v>
      </c>
      <c r="AH160" s="76">
        <f t="shared" si="19"/>
        <v>5.888490481635245</v>
      </c>
      <c r="AI160" s="77">
        <f t="shared" si="20"/>
        <v>14369104.248180524</v>
      </c>
    </row>
    <row r="161" spans="15:35" ht="12.75">
      <c r="O161" s="73">
        <v>41009</v>
      </c>
      <c r="P161" s="74" t="s">
        <v>125</v>
      </c>
      <c r="Q161" s="74">
        <v>100</v>
      </c>
      <c r="R161" s="75">
        <v>8.5</v>
      </c>
      <c r="S161" s="74">
        <v>8.7748</v>
      </c>
      <c r="T161" s="74">
        <v>1460000</v>
      </c>
      <c r="U161" s="95">
        <v>1460000</v>
      </c>
      <c r="V161" s="76">
        <f t="shared" si="17"/>
        <v>8.500003593868666</v>
      </c>
      <c r="W161" s="77">
        <f t="shared" si="18"/>
        <v>12410005.247048251</v>
      </c>
      <c r="X161" s="78"/>
      <c r="AA161" t="s">
        <v>23</v>
      </c>
      <c r="AB161" s="2">
        <v>0</v>
      </c>
      <c r="AC161" s="2">
        <v>763</v>
      </c>
      <c r="AD161" s="2">
        <v>100</v>
      </c>
      <c r="AE161" s="2">
        <v>30000</v>
      </c>
      <c r="AF161" s="2">
        <v>30000</v>
      </c>
      <c r="AG161" s="90">
        <v>6.9126</v>
      </c>
      <c r="AH161" s="76">
        <f t="shared" si="19"/>
        <v>6.740308920256322</v>
      </c>
      <c r="AI161" s="77">
        <f t="shared" si="20"/>
        <v>202209.26760768966</v>
      </c>
    </row>
    <row r="162" spans="15:35" ht="12.75">
      <c r="O162" s="73">
        <v>41010</v>
      </c>
      <c r="P162" s="74" t="s">
        <v>125</v>
      </c>
      <c r="Q162" s="74">
        <v>100</v>
      </c>
      <c r="R162" s="75">
        <v>8.4999</v>
      </c>
      <c r="S162" s="74">
        <v>8.7747</v>
      </c>
      <c r="T162" s="74">
        <v>190000</v>
      </c>
      <c r="U162" s="95">
        <v>190000</v>
      </c>
      <c r="V162" s="76">
        <f t="shared" si="17"/>
        <v>8.499909707199915</v>
      </c>
      <c r="W162" s="77">
        <f t="shared" si="18"/>
        <v>1614982.844367984</v>
      </c>
      <c r="X162" s="78"/>
      <c r="AA162" t="s">
        <v>23</v>
      </c>
      <c r="AB162" s="2">
        <v>0</v>
      </c>
      <c r="AC162" s="2">
        <v>763</v>
      </c>
      <c r="AD162" s="2">
        <v>100</v>
      </c>
      <c r="AE162" s="2">
        <v>2000</v>
      </c>
      <c r="AF162" s="2">
        <v>2000</v>
      </c>
      <c r="AG162" s="90">
        <v>6.9126</v>
      </c>
      <c r="AH162" s="76">
        <f t="shared" si="19"/>
        <v>6.740308920256322</v>
      </c>
      <c r="AI162" s="77">
        <f t="shared" si="20"/>
        <v>13480.617840512643</v>
      </c>
    </row>
    <row r="163" spans="15:35" ht="12.75">
      <c r="O163" s="73">
        <v>41029</v>
      </c>
      <c r="P163" s="74" t="s">
        <v>125</v>
      </c>
      <c r="Q163" s="74">
        <v>100</v>
      </c>
      <c r="R163" s="75">
        <v>8.4983</v>
      </c>
      <c r="S163" s="74">
        <v>8.773</v>
      </c>
      <c r="T163" s="74">
        <v>120000</v>
      </c>
      <c r="U163" s="95">
        <v>120000</v>
      </c>
      <c r="V163" s="76">
        <f t="shared" si="17"/>
        <v>8.498313623927523</v>
      </c>
      <c r="W163" s="77">
        <f t="shared" si="18"/>
        <v>1019797.6348713028</v>
      </c>
      <c r="X163" s="78"/>
      <c r="AA163" t="s">
        <v>23</v>
      </c>
      <c r="AB163" s="2">
        <v>0</v>
      </c>
      <c r="AC163" s="2">
        <v>1939</v>
      </c>
      <c r="AD163" s="2">
        <v>100</v>
      </c>
      <c r="AE163" s="2">
        <v>15800000</v>
      </c>
      <c r="AF163" s="2">
        <v>15800000</v>
      </c>
      <c r="AG163" s="90">
        <v>5.999</v>
      </c>
      <c r="AH163" s="76">
        <f t="shared" si="19"/>
        <v>5.868581224599723</v>
      </c>
      <c r="AI163" s="77">
        <f t="shared" si="20"/>
        <v>92723583.34867562</v>
      </c>
    </row>
    <row r="164" spans="15:35" ht="12.75">
      <c r="O164" s="73">
        <v>41023</v>
      </c>
      <c r="P164" s="74" t="s">
        <v>125</v>
      </c>
      <c r="Q164" s="74">
        <v>100</v>
      </c>
      <c r="R164" s="75">
        <v>8.4986</v>
      </c>
      <c r="S164" s="74">
        <v>8.7733</v>
      </c>
      <c r="T164" s="74">
        <v>250000</v>
      </c>
      <c r="U164" s="95">
        <v>250000</v>
      </c>
      <c r="V164" s="76">
        <f t="shared" si="17"/>
        <v>8.498595287040889</v>
      </c>
      <c r="W164" s="77">
        <f t="shared" si="18"/>
        <v>2124648.8217602223</v>
      </c>
      <c r="X164" s="77"/>
      <c r="AA164" t="s">
        <v>23</v>
      </c>
      <c r="AB164" s="2">
        <v>0</v>
      </c>
      <c r="AC164" s="2">
        <v>3079</v>
      </c>
      <c r="AD164" s="2">
        <v>100</v>
      </c>
      <c r="AE164" s="2">
        <v>8100000</v>
      </c>
      <c r="AF164" s="2">
        <v>8100000</v>
      </c>
      <c r="AG164" s="90">
        <v>6.8566</v>
      </c>
      <c r="AH164" s="76">
        <f t="shared" si="19"/>
        <v>6.6870365915887575</v>
      </c>
      <c r="AI164" s="77">
        <f t="shared" si="20"/>
        <v>54164996.391868934</v>
      </c>
    </row>
    <row r="165" spans="15:35" ht="12.75">
      <c r="O165" s="73">
        <v>41024</v>
      </c>
      <c r="P165" s="74" t="s">
        <v>125</v>
      </c>
      <c r="Q165" s="74">
        <v>100</v>
      </c>
      <c r="R165" s="75">
        <v>8.4986</v>
      </c>
      <c r="S165" s="74">
        <v>8.7733</v>
      </c>
      <c r="T165" s="74">
        <v>250000</v>
      </c>
      <c r="U165" s="95">
        <v>250000</v>
      </c>
      <c r="V165" s="76">
        <f t="shared" si="17"/>
        <v>8.498595287040889</v>
      </c>
      <c r="W165" s="77">
        <f t="shared" si="18"/>
        <v>2124648.8217602223</v>
      </c>
      <c r="X165" s="78"/>
      <c r="AA165" t="s">
        <v>23</v>
      </c>
      <c r="AB165" s="2">
        <v>0</v>
      </c>
      <c r="AC165" s="2">
        <v>3589</v>
      </c>
      <c r="AD165" s="2">
        <v>100</v>
      </c>
      <c r="AE165" s="2">
        <v>2400000</v>
      </c>
      <c r="AF165" s="2">
        <v>2400000</v>
      </c>
      <c r="AG165" s="90">
        <v>7.6028</v>
      </c>
      <c r="AH165" s="76">
        <f t="shared" si="19"/>
        <v>7.395178140619851</v>
      </c>
      <c r="AI165" s="77">
        <f t="shared" si="20"/>
        <v>17748427.537487645</v>
      </c>
    </row>
    <row r="166" spans="15:35" ht="12.75">
      <c r="O166" s="73">
        <v>41008</v>
      </c>
      <c r="P166" s="74" t="s">
        <v>100</v>
      </c>
      <c r="Q166" s="74">
        <v>103.6164</v>
      </c>
      <c r="R166" s="75">
        <v>5.678</v>
      </c>
      <c r="S166" s="74">
        <v>5.8</v>
      </c>
      <c r="T166" s="74">
        <v>103616.41</v>
      </c>
      <c r="U166" s="95">
        <v>103616.41</v>
      </c>
      <c r="V166" s="76">
        <f t="shared" si="17"/>
        <v>5.677954964260401</v>
      </c>
      <c r="W166" s="77">
        <f t="shared" si="18"/>
        <v>588329.3095383411</v>
      </c>
      <c r="X166" s="78"/>
      <c r="AA166" t="s">
        <v>23</v>
      </c>
      <c r="AB166" s="2">
        <v>0</v>
      </c>
      <c r="AC166" s="2">
        <v>649</v>
      </c>
      <c r="AD166" s="2">
        <v>100</v>
      </c>
      <c r="AE166" s="2">
        <v>1000000</v>
      </c>
      <c r="AF166" s="2">
        <v>1000000</v>
      </c>
      <c r="AG166" s="90">
        <v>80.7385</v>
      </c>
      <c r="AH166" s="76">
        <f t="shared" si="19"/>
        <v>63.79136625588586</v>
      </c>
      <c r="AI166" s="77">
        <f t="shared" si="20"/>
        <v>63791366.25588586</v>
      </c>
    </row>
    <row r="167" spans="15:35" ht="12.75">
      <c r="O167" s="73">
        <v>40917</v>
      </c>
      <c r="P167" s="74" t="s">
        <v>100</v>
      </c>
      <c r="Q167" s="74">
        <v>102.9596</v>
      </c>
      <c r="R167" s="75">
        <v>6.146729</v>
      </c>
      <c r="S167" s="74">
        <v>6.2899</v>
      </c>
      <c r="T167" s="74">
        <v>20591.92</v>
      </c>
      <c r="U167" s="95">
        <v>20591.92</v>
      </c>
      <c r="V167" s="76">
        <f t="shared" si="17"/>
        <v>6.146758040251754</v>
      </c>
      <c r="W167" s="77">
        <f t="shared" si="18"/>
        <v>126573.54982422089</v>
      </c>
      <c r="X167" s="78"/>
      <c r="AA167" t="s">
        <v>23</v>
      </c>
      <c r="AB167" s="2">
        <v>0</v>
      </c>
      <c r="AC167" s="2">
        <v>4849</v>
      </c>
      <c r="AD167" s="2">
        <v>100</v>
      </c>
      <c r="AE167" s="2">
        <v>2699000</v>
      </c>
      <c r="AF167" s="2">
        <v>2699000</v>
      </c>
      <c r="AG167" s="90">
        <v>7.6028</v>
      </c>
      <c r="AH167" s="76">
        <f t="shared" si="19"/>
        <v>7.395178140619851</v>
      </c>
      <c r="AI167" s="77">
        <f t="shared" si="20"/>
        <v>19959585.80153298</v>
      </c>
    </row>
    <row r="168" spans="15:35" ht="12.75">
      <c r="O168" s="73">
        <v>40917</v>
      </c>
      <c r="P168" s="74" t="s">
        <v>100</v>
      </c>
      <c r="Q168" s="74">
        <v>102.9596</v>
      </c>
      <c r="R168" s="75">
        <v>6.146729</v>
      </c>
      <c r="S168" s="74">
        <v>6.2899</v>
      </c>
      <c r="T168" s="74">
        <v>20591.92</v>
      </c>
      <c r="U168" s="95">
        <v>20591.92</v>
      </c>
      <c r="V168" s="76">
        <f t="shared" si="17"/>
        <v>6.146758040251754</v>
      </c>
      <c r="W168" s="77">
        <f t="shared" si="18"/>
        <v>126573.54982422089</v>
      </c>
      <c r="X168" s="78"/>
      <c r="AA168" t="s">
        <v>23</v>
      </c>
      <c r="AB168" s="2">
        <v>0</v>
      </c>
      <c r="AC168" s="2">
        <v>4879</v>
      </c>
      <c r="AD168" s="2">
        <v>100</v>
      </c>
      <c r="AE168" s="2">
        <v>1000</v>
      </c>
      <c r="AF168" s="2">
        <v>1000</v>
      </c>
      <c r="AG168" s="90">
        <v>0</v>
      </c>
      <c r="AH168" s="76">
        <f t="shared" si="19"/>
        <v>0</v>
      </c>
      <c r="AI168" s="77">
        <f t="shared" si="20"/>
        <v>0</v>
      </c>
    </row>
    <row r="169" spans="15:35" ht="12.75">
      <c r="O169" s="73">
        <v>40939</v>
      </c>
      <c r="P169" s="74" t="s">
        <v>99</v>
      </c>
      <c r="Q169" s="74">
        <v>102.3856</v>
      </c>
      <c r="R169" s="75">
        <v>5.6012</v>
      </c>
      <c r="S169" s="74">
        <v>5.72</v>
      </c>
      <c r="T169" s="74">
        <v>153578.4</v>
      </c>
      <c r="U169" s="95">
        <v>153578.4</v>
      </c>
      <c r="V169" s="76">
        <f t="shared" si="17"/>
        <v>5.601245505416319</v>
      </c>
      <c r="W169" s="77">
        <f t="shared" si="18"/>
        <v>860230.3227290296</v>
      </c>
      <c r="X169" s="78"/>
      <c r="AA169" t="s">
        <v>23</v>
      </c>
      <c r="AB169" s="2">
        <v>0</v>
      </c>
      <c r="AC169" s="2">
        <v>776</v>
      </c>
      <c r="AD169" s="2">
        <v>100</v>
      </c>
      <c r="AE169" s="2">
        <v>34000</v>
      </c>
      <c r="AF169" s="2">
        <v>34000</v>
      </c>
      <c r="AG169" s="90">
        <v>6.9109</v>
      </c>
      <c r="AH169" s="76">
        <f t="shared" si="19"/>
        <v>6.738692032611038</v>
      </c>
      <c r="AI169" s="77">
        <f t="shared" si="20"/>
        <v>229115.52910877528</v>
      </c>
    </row>
    <row r="170" spans="15:35" ht="12.75">
      <c r="O170" s="73">
        <v>40939</v>
      </c>
      <c r="P170" s="74" t="s">
        <v>99</v>
      </c>
      <c r="Q170" s="74">
        <v>102.3856</v>
      </c>
      <c r="R170" s="75">
        <v>5.6012</v>
      </c>
      <c r="S170" s="74">
        <v>5.72</v>
      </c>
      <c r="T170" s="74">
        <v>184294.08</v>
      </c>
      <c r="U170" s="95">
        <v>184294.08</v>
      </c>
      <c r="V170" s="76">
        <f t="shared" si="17"/>
        <v>5.601245505416319</v>
      </c>
      <c r="W170" s="77">
        <f t="shared" si="18"/>
        <v>1032276.3872748355</v>
      </c>
      <c r="X170" s="78"/>
      <c r="AA170" t="s">
        <v>23</v>
      </c>
      <c r="AB170" s="2">
        <v>0</v>
      </c>
      <c r="AC170" s="2">
        <v>776</v>
      </c>
      <c r="AD170" s="2">
        <v>100</v>
      </c>
      <c r="AE170" s="2">
        <v>20000</v>
      </c>
      <c r="AF170" s="2">
        <v>20000</v>
      </c>
      <c r="AG170" s="90">
        <v>6.9109</v>
      </c>
      <c r="AH170" s="76">
        <f t="shared" si="19"/>
        <v>6.738692032611038</v>
      </c>
      <c r="AI170" s="77">
        <f t="shared" si="20"/>
        <v>134773.84065222077</v>
      </c>
    </row>
    <row r="171" spans="15:35" ht="12.75">
      <c r="O171" s="73">
        <v>40952</v>
      </c>
      <c r="P171" s="74" t="s">
        <v>99</v>
      </c>
      <c r="Q171" s="74">
        <v>102.6298</v>
      </c>
      <c r="R171" s="75">
        <v>5.3901</v>
      </c>
      <c r="S171" s="74">
        <v>5.5</v>
      </c>
      <c r="T171" s="74">
        <v>153944.68</v>
      </c>
      <c r="U171" s="95">
        <v>153944.68</v>
      </c>
      <c r="V171" s="76">
        <f t="shared" si="17"/>
        <v>5.390069776496986</v>
      </c>
      <c r="W171" s="77">
        <f t="shared" si="18"/>
        <v>829772.5669205</v>
      </c>
      <c r="X171" s="78"/>
      <c r="AA171" t="s">
        <v>23</v>
      </c>
      <c r="AB171" s="2">
        <v>6.8234</v>
      </c>
      <c r="AC171" s="2">
        <v>2282</v>
      </c>
      <c r="AD171" s="2">
        <v>102.1036</v>
      </c>
      <c r="AE171" s="2">
        <v>20420.72</v>
      </c>
      <c r="AF171" s="2">
        <v>20000</v>
      </c>
      <c r="AG171" s="90">
        <v>7</v>
      </c>
      <c r="AH171" s="76">
        <f t="shared" si="19"/>
        <v>6.82341000072455</v>
      </c>
      <c r="AI171" s="77">
        <f t="shared" si="20"/>
        <v>139338.94506999585</v>
      </c>
    </row>
    <row r="172" spans="15:35" ht="12.75">
      <c r="O172" s="73">
        <v>41010</v>
      </c>
      <c r="P172" s="74" t="s">
        <v>99</v>
      </c>
      <c r="Q172" s="74">
        <v>103.1043</v>
      </c>
      <c r="R172" s="75">
        <v>5.0053</v>
      </c>
      <c r="S172" s="74">
        <v>5.1</v>
      </c>
      <c r="T172" s="74">
        <v>14176.84</v>
      </c>
      <c r="U172" s="95">
        <v>14176.84</v>
      </c>
      <c r="V172" s="76">
        <f t="shared" si="17"/>
        <v>5.0052662391725455</v>
      </c>
      <c r="W172" s="77">
        <f t="shared" si="18"/>
        <v>70958.8586301509</v>
      </c>
      <c r="X172" s="78"/>
      <c r="AA172" t="s">
        <v>23</v>
      </c>
      <c r="AB172" s="2">
        <v>6.8234</v>
      </c>
      <c r="AC172" s="2">
        <v>2282</v>
      </c>
      <c r="AD172" s="2">
        <v>102.1036</v>
      </c>
      <c r="AE172" s="2">
        <v>20420.72</v>
      </c>
      <c r="AF172" s="2">
        <v>20000</v>
      </c>
      <c r="AG172" s="90">
        <v>7</v>
      </c>
      <c r="AH172" s="76">
        <f t="shared" si="19"/>
        <v>6.82341000072455</v>
      </c>
      <c r="AI172" s="77">
        <f t="shared" si="20"/>
        <v>139338.94506999585</v>
      </c>
    </row>
    <row r="173" spans="15:35" ht="12.75">
      <c r="O173" s="73">
        <v>41010</v>
      </c>
      <c r="P173" s="74" t="s">
        <v>99</v>
      </c>
      <c r="Q173" s="74">
        <v>103.1043</v>
      </c>
      <c r="R173" s="75">
        <v>5.0053</v>
      </c>
      <c r="S173" s="74">
        <v>5.1</v>
      </c>
      <c r="T173" s="74">
        <v>14176.84</v>
      </c>
      <c r="U173" s="95">
        <v>14176.84</v>
      </c>
      <c r="V173" s="76">
        <f t="shared" si="17"/>
        <v>5.0052662391725455</v>
      </c>
      <c r="W173" s="77">
        <f t="shared" si="18"/>
        <v>70958.8586301509</v>
      </c>
      <c r="X173" s="77"/>
      <c r="AA173" t="s">
        <v>23</v>
      </c>
      <c r="AB173" s="2">
        <v>6.8234</v>
      </c>
      <c r="AC173" s="2">
        <v>2282</v>
      </c>
      <c r="AD173" s="2">
        <v>102.1036</v>
      </c>
      <c r="AE173" s="2">
        <v>20420.72</v>
      </c>
      <c r="AF173" s="2">
        <v>20000</v>
      </c>
      <c r="AG173" s="90">
        <v>7</v>
      </c>
      <c r="AH173" s="76">
        <f t="shared" si="19"/>
        <v>6.82341000072455</v>
      </c>
      <c r="AI173" s="77">
        <f t="shared" si="20"/>
        <v>139338.94506999585</v>
      </c>
    </row>
    <row r="174" spans="15:35" ht="12.75">
      <c r="O174" s="73">
        <v>40925</v>
      </c>
      <c r="P174" s="74" t="s">
        <v>104</v>
      </c>
      <c r="Q174" s="74">
        <v>101.4232</v>
      </c>
      <c r="R174" s="75">
        <v>5</v>
      </c>
      <c r="S174" s="74">
        <v>5.0945</v>
      </c>
      <c r="T174" s="74">
        <v>45640.44</v>
      </c>
      <c r="U174" s="95">
        <v>45640.44</v>
      </c>
      <c r="V174" s="76">
        <f t="shared" si="17"/>
        <v>4.9999675410777655</v>
      </c>
      <c r="W174" s="77">
        <f t="shared" si="18"/>
        <v>228200.71856050732</v>
      </c>
      <c r="X174" s="78"/>
      <c r="AA174" t="s">
        <v>23</v>
      </c>
      <c r="AB174" s="2">
        <v>0</v>
      </c>
      <c r="AC174" s="2">
        <v>816</v>
      </c>
      <c r="AD174" s="2">
        <v>99.9811</v>
      </c>
      <c r="AE174" s="2">
        <v>149971.65</v>
      </c>
      <c r="AF174" s="2">
        <v>150000</v>
      </c>
      <c r="AG174" s="90">
        <v>6.9228</v>
      </c>
      <c r="AH174" s="76">
        <f t="shared" si="19"/>
        <v>6.750009841218496</v>
      </c>
      <c r="AI174" s="77">
        <f t="shared" si="20"/>
        <v>1012310.1134037758</v>
      </c>
    </row>
    <row r="175" spans="15:35" ht="12.75">
      <c r="O175" s="73">
        <v>41026</v>
      </c>
      <c r="P175" s="74" t="s">
        <v>121</v>
      </c>
      <c r="Q175" s="74">
        <v>100</v>
      </c>
      <c r="R175" s="75">
        <v>0</v>
      </c>
      <c r="S175" s="74">
        <v>6.9192</v>
      </c>
      <c r="T175" s="74">
        <v>25000</v>
      </c>
      <c r="U175" s="95">
        <v>25000</v>
      </c>
      <c r="V175" s="76">
        <f t="shared" si="17"/>
        <v>6.746586066018168</v>
      </c>
      <c r="W175" s="77">
        <f t="shared" si="18"/>
        <v>168664.65165045418</v>
      </c>
      <c r="X175" s="78"/>
      <c r="AA175" t="s">
        <v>23</v>
      </c>
      <c r="AB175" s="2">
        <v>6.5372</v>
      </c>
      <c r="AC175" s="2">
        <v>1216</v>
      </c>
      <c r="AD175" s="2">
        <v>100.7919</v>
      </c>
      <c r="AE175" s="2">
        <v>388048.82</v>
      </c>
      <c r="AF175" s="2">
        <v>385000</v>
      </c>
      <c r="AG175" s="90">
        <v>6.6992</v>
      </c>
      <c r="AH175" s="76">
        <f t="shared" si="19"/>
        <v>6.537191076781124</v>
      </c>
      <c r="AI175" s="77">
        <f t="shared" si="20"/>
        <v>2536749.2834594445</v>
      </c>
    </row>
    <row r="176" spans="15:35" ht="12.75">
      <c r="O176" s="73">
        <v>41004</v>
      </c>
      <c r="P176" s="74" t="s">
        <v>121</v>
      </c>
      <c r="Q176" s="74">
        <v>100</v>
      </c>
      <c r="R176" s="75">
        <v>0</v>
      </c>
      <c r="S176" s="74">
        <v>6.9142</v>
      </c>
      <c r="T176" s="74">
        <v>6000</v>
      </c>
      <c r="U176" s="95">
        <v>6000</v>
      </c>
      <c r="V176" s="76">
        <f t="shared" si="17"/>
        <v>6.741830679249272</v>
      </c>
      <c r="W176" s="77">
        <f t="shared" si="18"/>
        <v>40450.98407549563</v>
      </c>
      <c r="X176" s="78"/>
      <c r="AA176" t="s">
        <v>23</v>
      </c>
      <c r="AB176" s="2">
        <v>6.6674</v>
      </c>
      <c r="AC176" s="2">
        <v>594</v>
      </c>
      <c r="AD176" s="2">
        <v>100.0674</v>
      </c>
      <c r="AE176" s="2">
        <v>200134.8</v>
      </c>
      <c r="AF176" s="2">
        <v>200000</v>
      </c>
      <c r="AG176" s="90">
        <v>6.836</v>
      </c>
      <c r="AH176" s="76">
        <f t="shared" si="19"/>
        <v>6.6674347170296855</v>
      </c>
      <c r="AI176" s="77">
        <f t="shared" si="20"/>
        <v>1334385.7136057927</v>
      </c>
    </row>
    <row r="177" spans="15:35" ht="12.75">
      <c r="O177" s="73">
        <v>40967</v>
      </c>
      <c r="P177" s="74" t="s">
        <v>121</v>
      </c>
      <c r="Q177" s="74">
        <v>100</v>
      </c>
      <c r="R177" s="75">
        <v>0</v>
      </c>
      <c r="S177" s="74">
        <v>6.9096</v>
      </c>
      <c r="T177" s="74">
        <v>100000</v>
      </c>
      <c r="U177" s="95">
        <v>100000</v>
      </c>
      <c r="V177" s="76">
        <f t="shared" si="17"/>
        <v>6.737455576106743</v>
      </c>
      <c r="W177" s="77">
        <f t="shared" si="18"/>
        <v>673745.5576106743</v>
      </c>
      <c r="X177" s="78"/>
      <c r="AA177" t="s">
        <v>23</v>
      </c>
      <c r="AB177" s="2">
        <v>7.5</v>
      </c>
      <c r="AC177" s="2">
        <v>960</v>
      </c>
      <c r="AD177" s="2">
        <v>99.9961</v>
      </c>
      <c r="AE177" s="2">
        <v>73330.5</v>
      </c>
      <c r="AF177" s="2">
        <v>73333.33</v>
      </c>
      <c r="AG177" s="90">
        <v>7.7136</v>
      </c>
      <c r="AH177" s="76">
        <f t="shared" si="19"/>
        <v>7.500012694114311</v>
      </c>
      <c r="AI177" s="77">
        <f t="shared" si="20"/>
        <v>549979.6808657495</v>
      </c>
    </row>
    <row r="178" spans="15:35" ht="12.75">
      <c r="O178" s="73">
        <v>40988</v>
      </c>
      <c r="P178" s="74" t="s">
        <v>121</v>
      </c>
      <c r="Q178" s="74">
        <v>100</v>
      </c>
      <c r="R178" s="75">
        <v>0</v>
      </c>
      <c r="S178" s="74">
        <v>6.9118</v>
      </c>
      <c r="T178" s="74">
        <v>26000</v>
      </c>
      <c r="U178" s="95">
        <v>26000</v>
      </c>
      <c r="V178" s="76">
        <f t="shared" si="17"/>
        <v>6.73954803435457</v>
      </c>
      <c r="W178" s="77">
        <f t="shared" si="18"/>
        <v>175228.2488932188</v>
      </c>
      <c r="X178" s="78"/>
      <c r="AA178" t="s">
        <v>23</v>
      </c>
      <c r="AB178" s="2">
        <v>0</v>
      </c>
      <c r="AC178" s="2">
        <v>899</v>
      </c>
      <c r="AD178" s="2">
        <v>99.9998</v>
      </c>
      <c r="AE178" s="2">
        <v>833.33</v>
      </c>
      <c r="AF178" s="2">
        <v>833.33</v>
      </c>
      <c r="AG178" s="90">
        <v>7.7136</v>
      </c>
      <c r="AH178" s="76">
        <f t="shared" si="19"/>
        <v>7.500012694114311</v>
      </c>
      <c r="AI178" s="77">
        <f t="shared" si="20"/>
        <v>6249.985578386279</v>
      </c>
    </row>
    <row r="179" spans="15:35" ht="12.75">
      <c r="O179" s="73">
        <v>40981</v>
      </c>
      <c r="P179" s="74" t="s">
        <v>121</v>
      </c>
      <c r="Q179" s="74">
        <v>100</v>
      </c>
      <c r="R179" s="75">
        <v>0</v>
      </c>
      <c r="S179" s="74">
        <v>6.9109</v>
      </c>
      <c r="T179" s="74">
        <v>34000</v>
      </c>
      <c r="U179" s="95">
        <v>34000</v>
      </c>
      <c r="V179" s="76">
        <f t="shared" si="17"/>
        <v>6.738692032611038</v>
      </c>
      <c r="W179" s="77">
        <f t="shared" si="18"/>
        <v>229115.52910877528</v>
      </c>
      <c r="X179" s="78"/>
      <c r="AA179" t="s">
        <v>23</v>
      </c>
      <c r="AB179" s="2">
        <v>0</v>
      </c>
      <c r="AC179" s="2">
        <v>791</v>
      </c>
      <c r="AD179" s="2">
        <v>100</v>
      </c>
      <c r="AE179" s="2">
        <v>100000</v>
      </c>
      <c r="AF179" s="2">
        <v>100000</v>
      </c>
      <c r="AG179" s="90">
        <v>6.9096</v>
      </c>
      <c r="AH179" s="76">
        <f t="shared" si="19"/>
        <v>6.737455576106743</v>
      </c>
      <c r="AI179" s="77">
        <f t="shared" si="20"/>
        <v>673745.5576106743</v>
      </c>
    </row>
    <row r="180" spans="15:35" ht="12.75">
      <c r="O180" s="73">
        <v>40981</v>
      </c>
      <c r="P180" s="74" t="s">
        <v>121</v>
      </c>
      <c r="Q180" s="74">
        <v>100</v>
      </c>
      <c r="R180" s="75">
        <v>0</v>
      </c>
      <c r="S180" s="74">
        <v>6.9109</v>
      </c>
      <c r="T180" s="74">
        <v>20000</v>
      </c>
      <c r="U180" s="95">
        <v>20000</v>
      </c>
      <c r="V180" s="76">
        <f t="shared" si="17"/>
        <v>6.738692032611038</v>
      </c>
      <c r="W180" s="77">
        <f t="shared" si="18"/>
        <v>134773.84065222077</v>
      </c>
      <c r="X180" s="78"/>
      <c r="AA180" t="s">
        <v>23</v>
      </c>
      <c r="AB180" s="2">
        <v>7.45</v>
      </c>
      <c r="AC180" s="2">
        <v>1115</v>
      </c>
      <c r="AD180" s="2">
        <v>99.6408</v>
      </c>
      <c r="AE180" s="2">
        <v>1992816</v>
      </c>
      <c r="AF180" s="2">
        <v>2000000</v>
      </c>
      <c r="AG180" s="90">
        <v>7.6607</v>
      </c>
      <c r="AH180" s="76">
        <f t="shared" si="19"/>
        <v>7.44997091226578</v>
      </c>
      <c r="AI180" s="77">
        <f t="shared" si="20"/>
        <v>14846421.233497841</v>
      </c>
    </row>
    <row r="181" spans="15:37" ht="12.75">
      <c r="O181" s="73">
        <v>40997</v>
      </c>
      <c r="P181" s="74" t="s">
        <v>121</v>
      </c>
      <c r="Q181" s="74">
        <v>100</v>
      </c>
      <c r="R181" s="75">
        <v>0</v>
      </c>
      <c r="S181" s="74">
        <v>6.6582</v>
      </c>
      <c r="T181" s="74">
        <v>1000000</v>
      </c>
      <c r="U181" s="95">
        <v>1000000</v>
      </c>
      <c r="V181" s="76">
        <f t="shared" si="17"/>
        <v>6.498131676196106</v>
      </c>
      <c r="W181" s="77">
        <f t="shared" si="18"/>
        <v>6498131.676196106</v>
      </c>
      <c r="X181" s="78"/>
      <c r="AA181" t="s">
        <v>23</v>
      </c>
      <c r="AB181" s="2">
        <v>7.148</v>
      </c>
      <c r="AC181" s="2">
        <v>547</v>
      </c>
      <c r="AD181" s="2">
        <v>100</v>
      </c>
      <c r="AE181" s="2">
        <v>1000000</v>
      </c>
      <c r="AF181" s="2">
        <v>1000000</v>
      </c>
      <c r="AG181" s="90">
        <v>7.3419</v>
      </c>
      <c r="AH181" s="76">
        <f t="shared" si="19"/>
        <v>7.1480047812998215</v>
      </c>
      <c r="AI181" s="77">
        <f t="shared" si="20"/>
        <v>7148004.781299821</v>
      </c>
      <c r="AJ181" s="14">
        <f>+SUM(AI139:AI181)/SUM(AF139:AF181)</f>
        <v>8.043685857694149</v>
      </c>
      <c r="AK181" s="14">
        <f>+SUM(AI139:AI181)</f>
        <v>314203408.70215946</v>
      </c>
    </row>
    <row r="182" spans="15:35" ht="12.75">
      <c r="O182" s="73">
        <v>40994</v>
      </c>
      <c r="P182" s="74" t="s">
        <v>121</v>
      </c>
      <c r="Q182" s="74">
        <v>100</v>
      </c>
      <c r="R182" s="75">
        <v>0</v>
      </c>
      <c r="S182" s="74">
        <v>6.9126</v>
      </c>
      <c r="T182" s="74">
        <v>30000</v>
      </c>
      <c r="U182" s="95">
        <v>30000</v>
      </c>
      <c r="V182" s="76">
        <f t="shared" si="17"/>
        <v>6.740308920256322</v>
      </c>
      <c r="W182" s="77">
        <f t="shared" si="18"/>
        <v>202209.26760768966</v>
      </c>
      <c r="X182" s="78"/>
      <c r="AA182" t="s">
        <v>136</v>
      </c>
      <c r="AB182" s="2">
        <v>6.5</v>
      </c>
      <c r="AC182" s="2">
        <v>1320</v>
      </c>
      <c r="AD182" s="2">
        <v>99.9971</v>
      </c>
      <c r="AE182" s="2">
        <v>187494.55</v>
      </c>
      <c r="AF182" s="2">
        <v>187500</v>
      </c>
      <c r="AG182" s="90">
        <v>6.6602</v>
      </c>
      <c r="AH182" s="76">
        <f t="shared" si="19"/>
        <v>6.500037274046466</v>
      </c>
      <c r="AI182" s="77">
        <f t="shared" si="20"/>
        <v>1218721.5636805687</v>
      </c>
    </row>
    <row r="183" spans="15:35" ht="12.75">
      <c r="O183" s="73">
        <v>40994</v>
      </c>
      <c r="P183" s="74" t="s">
        <v>121</v>
      </c>
      <c r="Q183" s="74">
        <v>100</v>
      </c>
      <c r="R183" s="75">
        <v>0</v>
      </c>
      <c r="S183" s="74">
        <v>6.9126</v>
      </c>
      <c r="T183" s="74">
        <v>2000</v>
      </c>
      <c r="U183" s="95">
        <v>2000</v>
      </c>
      <c r="V183" s="76">
        <f t="shared" si="17"/>
        <v>6.740308920256322</v>
      </c>
      <c r="W183" s="77">
        <f t="shared" si="18"/>
        <v>13480.617840512643</v>
      </c>
      <c r="AA183" t="s">
        <v>136</v>
      </c>
      <c r="AB183" s="2">
        <v>6.5</v>
      </c>
      <c r="AC183" s="2">
        <v>1320</v>
      </c>
      <c r="AD183" s="2">
        <v>99.9971</v>
      </c>
      <c r="AE183" s="2">
        <v>12499.32</v>
      </c>
      <c r="AF183" s="2">
        <v>12499.69</v>
      </c>
      <c r="AG183" s="90">
        <v>6.6602</v>
      </c>
      <c r="AH183" s="76">
        <f t="shared" si="19"/>
        <v>6.500037274046466</v>
      </c>
      <c r="AI183" s="77">
        <f t="shared" si="20"/>
        <v>81246.04590023447</v>
      </c>
    </row>
    <row r="184" spans="15:35" ht="12.75">
      <c r="O184" s="73">
        <v>40912</v>
      </c>
      <c r="P184" s="74" t="s">
        <v>121</v>
      </c>
      <c r="Q184" s="74">
        <v>99.6408</v>
      </c>
      <c r="R184" s="75">
        <v>7.45</v>
      </c>
      <c r="S184" s="74">
        <v>7.6607</v>
      </c>
      <c r="T184" s="74">
        <v>1992816</v>
      </c>
      <c r="U184" s="95">
        <v>1992816</v>
      </c>
      <c r="V184" s="76">
        <f t="shared" si="17"/>
        <v>7.44997091226578</v>
      </c>
      <c r="W184" s="77">
        <f t="shared" si="18"/>
        <v>14846421.233497841</v>
      </c>
      <c r="X184" s="78"/>
      <c r="AA184" t="s">
        <v>136</v>
      </c>
      <c r="AB184" s="2">
        <v>6.5</v>
      </c>
      <c r="AC184" s="2">
        <v>1297</v>
      </c>
      <c r="AD184" s="2">
        <v>99.9968</v>
      </c>
      <c r="AE184" s="2">
        <v>149995.24</v>
      </c>
      <c r="AF184" s="2">
        <v>150000</v>
      </c>
      <c r="AG184" s="90">
        <v>6.6602</v>
      </c>
      <c r="AH184" s="76">
        <f t="shared" si="19"/>
        <v>6.500037274046466</v>
      </c>
      <c r="AI184" s="77">
        <f t="shared" si="20"/>
        <v>974974.6509295454</v>
      </c>
    </row>
    <row r="185" spans="15:35" ht="12.75">
      <c r="O185" s="73">
        <v>40942</v>
      </c>
      <c r="P185" s="74" t="s">
        <v>121</v>
      </c>
      <c r="Q185" s="74">
        <v>99.9811</v>
      </c>
      <c r="R185" s="75">
        <v>0</v>
      </c>
      <c r="S185" s="74">
        <v>6.9228</v>
      </c>
      <c r="T185" s="74">
        <v>149971.65</v>
      </c>
      <c r="U185" s="95">
        <v>149971.65</v>
      </c>
      <c r="V185" s="76">
        <f t="shared" si="17"/>
        <v>6.750009841218496</v>
      </c>
      <c r="W185" s="77">
        <f t="shared" si="18"/>
        <v>1012310.1134037758</v>
      </c>
      <c r="X185" s="77">
        <f>+SUM(W175:W185)/SUM(T175:T185)</f>
        <v>7.086838928169864</v>
      </c>
      <c r="Y185" s="77">
        <f>+SUM(W175:W185)</f>
        <v>23994531.72053676</v>
      </c>
      <c r="AA185" t="s">
        <v>136</v>
      </c>
      <c r="AB185" s="2">
        <v>6.5</v>
      </c>
      <c r="AC185" s="2">
        <v>1280</v>
      </c>
      <c r="AD185" s="2">
        <v>99.9977</v>
      </c>
      <c r="AE185" s="2">
        <v>749983</v>
      </c>
      <c r="AF185" s="2">
        <v>750000</v>
      </c>
      <c r="AG185" s="90">
        <v>6.6602</v>
      </c>
      <c r="AH185" s="76">
        <f t="shared" si="19"/>
        <v>6.500037274046466</v>
      </c>
      <c r="AI185" s="77">
        <f t="shared" si="20"/>
        <v>4874917.4549011905</v>
      </c>
    </row>
    <row r="186" spans="15:35" ht="12.75">
      <c r="O186" s="73">
        <v>40991</v>
      </c>
      <c r="P186" s="74" t="s">
        <v>137</v>
      </c>
      <c r="Q186" s="74">
        <v>100</v>
      </c>
      <c r="R186" s="75">
        <v>0</v>
      </c>
      <c r="S186" s="74">
        <v>6.0198</v>
      </c>
      <c r="T186" s="74">
        <v>2440201.66</v>
      </c>
      <c r="U186" s="95">
        <v>2440201.66</v>
      </c>
      <c r="V186" s="76">
        <f t="shared" si="17"/>
        <v>5.888490481635245</v>
      </c>
      <c r="W186" s="77">
        <f t="shared" si="18"/>
        <v>14369104.248180524</v>
      </c>
      <c r="X186" s="77">
        <f>+SUM(W186)/SUM(T186)</f>
        <v>5.888490481635245</v>
      </c>
      <c r="Y186" s="77">
        <f>+SUM(W186)</f>
        <v>14369104.248180524</v>
      </c>
      <c r="AA186" t="s">
        <v>136</v>
      </c>
      <c r="AB186" s="2">
        <v>6.5</v>
      </c>
      <c r="AC186" s="2">
        <v>1311</v>
      </c>
      <c r="AD186" s="2">
        <v>99.9968</v>
      </c>
      <c r="AE186" s="2">
        <v>168744.57</v>
      </c>
      <c r="AF186" s="2">
        <v>168750</v>
      </c>
      <c r="AG186" s="90">
        <v>6.6602</v>
      </c>
      <c r="AH186" s="76">
        <f t="shared" si="19"/>
        <v>6.500037274046466</v>
      </c>
      <c r="AI186" s="77">
        <f t="shared" si="20"/>
        <v>1096845.9947929431</v>
      </c>
    </row>
    <row r="187" spans="15:35" ht="12.75">
      <c r="O187" s="73">
        <v>40995</v>
      </c>
      <c r="P187" s="74" t="s">
        <v>157</v>
      </c>
      <c r="Q187" s="74">
        <v>100</v>
      </c>
      <c r="R187" s="75">
        <v>0</v>
      </c>
      <c r="S187" s="74">
        <v>5.999</v>
      </c>
      <c r="T187" s="74">
        <v>15800000</v>
      </c>
      <c r="U187" s="95">
        <v>15800000</v>
      </c>
      <c r="V187" s="76">
        <f t="shared" si="17"/>
        <v>5.868581224599723</v>
      </c>
      <c r="W187" s="77">
        <f t="shared" si="18"/>
        <v>92723583.34867562</v>
      </c>
      <c r="X187" s="78"/>
      <c r="AA187" t="s">
        <v>136</v>
      </c>
      <c r="AB187" s="2">
        <v>6.5</v>
      </c>
      <c r="AC187" s="2">
        <v>1302</v>
      </c>
      <c r="AD187" s="2">
        <v>99.9967</v>
      </c>
      <c r="AE187" s="2">
        <v>5146707.2</v>
      </c>
      <c r="AF187" s="2">
        <v>5146875</v>
      </c>
      <c r="AG187" s="90">
        <v>6.6602</v>
      </c>
      <c r="AH187" s="76">
        <f t="shared" si="19"/>
        <v>6.500037274046466</v>
      </c>
      <c r="AI187" s="77">
        <f t="shared" si="20"/>
        <v>33453788.638603322</v>
      </c>
    </row>
    <row r="188" spans="15:35" ht="12.75">
      <c r="O188" s="73">
        <v>40995</v>
      </c>
      <c r="P188" s="74" t="s">
        <v>157</v>
      </c>
      <c r="Q188" s="74">
        <v>100</v>
      </c>
      <c r="R188" s="75">
        <v>0</v>
      </c>
      <c r="S188" s="74">
        <v>6.8566</v>
      </c>
      <c r="T188" s="74">
        <v>8100000</v>
      </c>
      <c r="U188" s="95">
        <v>8100000</v>
      </c>
      <c r="V188" s="76">
        <f t="shared" si="17"/>
        <v>6.6870365915887575</v>
      </c>
      <c r="W188" s="77">
        <f t="shared" si="18"/>
        <v>54164996.391868934</v>
      </c>
      <c r="X188" s="78"/>
      <c r="AA188" t="s">
        <v>136</v>
      </c>
      <c r="AB188" s="2">
        <v>6.5</v>
      </c>
      <c r="AC188" s="2">
        <v>1277</v>
      </c>
      <c r="AD188" s="2">
        <v>99.998</v>
      </c>
      <c r="AE188" s="2">
        <v>129996.76</v>
      </c>
      <c r="AF188" s="2">
        <v>129999.38</v>
      </c>
      <c r="AG188" s="90">
        <v>6.6602</v>
      </c>
      <c r="AH188" s="76">
        <f t="shared" si="19"/>
        <v>6.500037274046466</v>
      </c>
      <c r="AI188" s="77">
        <f t="shared" si="20"/>
        <v>844983.7855052727</v>
      </c>
    </row>
    <row r="189" spans="15:35" ht="12.75">
      <c r="O189" s="73">
        <v>40995</v>
      </c>
      <c r="P189" s="74" t="s">
        <v>157</v>
      </c>
      <c r="Q189" s="74">
        <v>100</v>
      </c>
      <c r="R189" s="75">
        <v>0</v>
      </c>
      <c r="S189" s="74">
        <v>7.6028</v>
      </c>
      <c r="T189" s="74">
        <v>2400000</v>
      </c>
      <c r="U189" s="95">
        <v>2400000</v>
      </c>
      <c r="V189" s="76">
        <f t="shared" si="17"/>
        <v>7.395178140619851</v>
      </c>
      <c r="W189" s="77">
        <f t="shared" si="18"/>
        <v>17748427.537487645</v>
      </c>
      <c r="X189" s="78"/>
      <c r="AA189" t="s">
        <v>136</v>
      </c>
      <c r="AB189" s="2">
        <v>6.5</v>
      </c>
      <c r="AC189" s="2">
        <v>1256</v>
      </c>
      <c r="AD189" s="2">
        <v>99.9994</v>
      </c>
      <c r="AE189" s="2">
        <v>549999.2</v>
      </c>
      <c r="AF189" s="2">
        <v>550002.25</v>
      </c>
      <c r="AG189" s="90">
        <v>6.6602</v>
      </c>
      <c r="AH189" s="76">
        <f t="shared" si="19"/>
        <v>6.500037274046466</v>
      </c>
      <c r="AI189" s="77">
        <f t="shared" si="20"/>
        <v>3575015.300695737</v>
      </c>
    </row>
    <row r="190" spans="15:35" ht="12.75">
      <c r="O190" s="73">
        <v>40995</v>
      </c>
      <c r="P190" s="74" t="s">
        <v>157</v>
      </c>
      <c r="Q190" s="74">
        <v>100</v>
      </c>
      <c r="R190" s="75">
        <v>0</v>
      </c>
      <c r="S190" s="74">
        <v>80.7385</v>
      </c>
      <c r="T190" s="74">
        <v>1000000</v>
      </c>
      <c r="U190" s="95">
        <v>1000000</v>
      </c>
      <c r="V190" s="76">
        <f t="shared" si="17"/>
        <v>63.79136625588586</v>
      </c>
      <c r="W190" s="77">
        <f t="shared" si="18"/>
        <v>63791366.25588586</v>
      </c>
      <c r="X190" s="78"/>
      <c r="AA190" t="s">
        <v>136</v>
      </c>
      <c r="AB190" s="2">
        <v>6.5</v>
      </c>
      <c r="AC190" s="2">
        <v>1253</v>
      </c>
      <c r="AD190" s="2">
        <v>99.9991</v>
      </c>
      <c r="AE190" s="2">
        <v>297497.21</v>
      </c>
      <c r="AF190" s="2">
        <v>297500</v>
      </c>
      <c r="AG190" s="90">
        <v>6.6602</v>
      </c>
      <c r="AH190" s="76">
        <f t="shared" si="19"/>
        <v>6.500037274046466</v>
      </c>
      <c r="AI190" s="77">
        <f t="shared" si="20"/>
        <v>1933742.9539248291</v>
      </c>
    </row>
    <row r="191" spans="15:35" ht="12.75">
      <c r="O191" s="73">
        <v>40995</v>
      </c>
      <c r="P191" s="74" t="s">
        <v>157</v>
      </c>
      <c r="Q191" s="74">
        <v>100</v>
      </c>
      <c r="R191" s="75">
        <v>0</v>
      </c>
      <c r="S191" s="74">
        <v>7.6028</v>
      </c>
      <c r="T191" s="74">
        <v>2699000</v>
      </c>
      <c r="U191" s="95">
        <v>2699000</v>
      </c>
      <c r="V191" s="76">
        <f t="shared" si="17"/>
        <v>7.395178140619851</v>
      </c>
      <c r="W191" s="77">
        <f t="shared" si="18"/>
        <v>19959585.80153298</v>
      </c>
      <c r="X191" s="78"/>
      <c r="AA191" t="s">
        <v>24</v>
      </c>
      <c r="AB191" s="2">
        <v>8.0634</v>
      </c>
      <c r="AC191" s="2">
        <v>1702</v>
      </c>
      <c r="AD191" s="2">
        <v>99.8415</v>
      </c>
      <c r="AE191" s="2">
        <v>99841.5</v>
      </c>
      <c r="AF191" s="2">
        <v>100000</v>
      </c>
      <c r="AG191" s="90">
        <v>8.3105</v>
      </c>
      <c r="AH191" s="76">
        <f t="shared" si="19"/>
        <v>8.063388442020969</v>
      </c>
      <c r="AI191" s="77">
        <f t="shared" si="20"/>
        <v>805060.7971340365</v>
      </c>
    </row>
    <row r="192" spans="15:35" ht="12.75">
      <c r="O192" s="73">
        <v>40995</v>
      </c>
      <c r="P192" s="74" t="s">
        <v>157</v>
      </c>
      <c r="Q192" s="74">
        <v>100</v>
      </c>
      <c r="R192" s="75">
        <v>0</v>
      </c>
      <c r="S192" s="74">
        <v>0</v>
      </c>
      <c r="T192" s="74">
        <v>1000</v>
      </c>
      <c r="U192" s="95">
        <v>1000</v>
      </c>
      <c r="V192" s="76">
        <f t="shared" si="17"/>
        <v>0</v>
      </c>
      <c r="W192" s="77">
        <f t="shared" si="18"/>
        <v>0</v>
      </c>
      <c r="AA192" t="s">
        <v>24</v>
      </c>
      <c r="AB192" s="2">
        <v>0</v>
      </c>
      <c r="AC192" s="2">
        <v>727</v>
      </c>
      <c r="AD192" s="2">
        <v>100</v>
      </c>
      <c r="AE192" s="2">
        <v>20307.69</v>
      </c>
      <c r="AF192" s="2">
        <v>20307.69</v>
      </c>
      <c r="AG192" s="90">
        <v>8.0309</v>
      </c>
      <c r="AH192" s="76">
        <f t="shared" si="19"/>
        <v>7.799782560666646</v>
      </c>
      <c r="AI192" s="77">
        <f t="shared" si="20"/>
        <v>158395.56630942444</v>
      </c>
    </row>
    <row r="193" spans="15:35" ht="12.75">
      <c r="O193" s="73">
        <v>40998</v>
      </c>
      <c r="P193" s="74" t="s">
        <v>157</v>
      </c>
      <c r="Q193" s="74">
        <v>190</v>
      </c>
      <c r="R193" s="75">
        <v>0</v>
      </c>
      <c r="S193" s="74">
        <v>6.3637</v>
      </c>
      <c r="T193" s="74">
        <v>1900000</v>
      </c>
      <c r="U193" s="95">
        <v>1900000</v>
      </c>
      <c r="V193" s="76">
        <f t="shared" si="17"/>
        <v>6.217239406741726</v>
      </c>
      <c r="W193" s="77">
        <f t="shared" si="18"/>
        <v>11812754.87280928</v>
      </c>
      <c r="AA193" t="s">
        <v>24</v>
      </c>
      <c r="AB193" s="2">
        <v>0</v>
      </c>
      <c r="AC193" s="2">
        <v>771</v>
      </c>
      <c r="AD193" s="2">
        <v>100</v>
      </c>
      <c r="AE193" s="2">
        <v>40000</v>
      </c>
      <c r="AF193" s="2">
        <v>40000</v>
      </c>
      <c r="AG193" s="90">
        <v>8.0308</v>
      </c>
      <c r="AH193" s="76">
        <f t="shared" si="19"/>
        <v>7.799688189536713</v>
      </c>
      <c r="AI193" s="77">
        <f t="shared" si="20"/>
        <v>311987.5275814685</v>
      </c>
    </row>
    <row r="194" spans="15:35" ht="12.75">
      <c r="O194" s="73">
        <v>40998</v>
      </c>
      <c r="P194" s="74" t="s">
        <v>157</v>
      </c>
      <c r="Q194" s="74">
        <v>100</v>
      </c>
      <c r="R194" s="75">
        <v>0</v>
      </c>
      <c r="S194" s="74">
        <v>0</v>
      </c>
      <c r="T194" s="74">
        <v>1000</v>
      </c>
      <c r="U194" s="95">
        <v>1000</v>
      </c>
      <c r="V194" s="76">
        <f t="shared" si="17"/>
        <v>0</v>
      </c>
      <c r="W194" s="77">
        <f t="shared" si="18"/>
        <v>0</v>
      </c>
      <c r="X194" s="77">
        <f>+SUM(W187:W194)/SUM(T187:T194)</f>
        <v>8.156506511026624</v>
      </c>
      <c r="Y194" s="77">
        <f>+SUM(W187:W194)</f>
        <v>260200714.20826036</v>
      </c>
      <c r="AA194" t="s">
        <v>24</v>
      </c>
      <c r="AB194" s="2">
        <v>8</v>
      </c>
      <c r="AC194" s="2">
        <v>1779</v>
      </c>
      <c r="AD194" s="2">
        <v>99.9965</v>
      </c>
      <c r="AE194" s="2">
        <v>149994.7</v>
      </c>
      <c r="AF194" s="2">
        <v>150000</v>
      </c>
      <c r="AG194" s="90">
        <v>8.2432</v>
      </c>
      <c r="AH194" s="76">
        <f t="shared" si="19"/>
        <v>7.9999849228418185</v>
      </c>
      <c r="AI194" s="77">
        <f t="shared" si="20"/>
        <v>1199955.3385061817</v>
      </c>
    </row>
    <row r="195" spans="15:35" ht="12.75">
      <c r="O195" s="73">
        <v>40998</v>
      </c>
      <c r="P195" s="74" t="s">
        <v>158</v>
      </c>
      <c r="Q195" s="74">
        <v>100</v>
      </c>
      <c r="R195" s="75">
        <v>8.4996</v>
      </c>
      <c r="S195" s="74">
        <v>8.7744</v>
      </c>
      <c r="T195" s="74">
        <v>15000</v>
      </c>
      <c r="U195" s="95">
        <v>15000</v>
      </c>
      <c r="V195" s="76">
        <f t="shared" si="17"/>
        <v>8.49962804680544</v>
      </c>
      <c r="W195" s="77">
        <f t="shared" si="18"/>
        <v>127494.42070208161</v>
      </c>
      <c r="AA195" t="s">
        <v>24</v>
      </c>
      <c r="AB195" s="2">
        <v>8</v>
      </c>
      <c r="AC195" s="2">
        <v>1086</v>
      </c>
      <c r="AD195" s="2">
        <v>100</v>
      </c>
      <c r="AE195" s="2">
        <v>30000</v>
      </c>
      <c r="AF195" s="2">
        <v>30000</v>
      </c>
      <c r="AG195" s="90">
        <v>8.3</v>
      </c>
      <c r="AH195" s="76">
        <f t="shared" si="19"/>
        <v>8.053498308212603</v>
      </c>
      <c r="AI195" s="77">
        <f t="shared" si="20"/>
        <v>241604.9492463781</v>
      </c>
    </row>
    <row r="196" spans="15:35" ht="12.75">
      <c r="O196" s="73">
        <v>40998</v>
      </c>
      <c r="P196" s="74" t="s">
        <v>158</v>
      </c>
      <c r="Q196" s="74">
        <v>100</v>
      </c>
      <c r="R196" s="75">
        <v>8.4996</v>
      </c>
      <c r="S196" s="74">
        <v>8.7744</v>
      </c>
      <c r="T196" s="74">
        <v>5000</v>
      </c>
      <c r="U196" s="95">
        <v>5000</v>
      </c>
      <c r="V196" s="76">
        <f t="shared" si="17"/>
        <v>8.49962804680544</v>
      </c>
      <c r="W196" s="77">
        <f t="shared" si="18"/>
        <v>42498.1402340272</v>
      </c>
      <c r="AA196" t="s">
        <v>24</v>
      </c>
      <c r="AB196" s="2">
        <v>8</v>
      </c>
      <c r="AC196" s="2">
        <v>1779</v>
      </c>
      <c r="AD196" s="2">
        <v>99.9965</v>
      </c>
      <c r="AE196" s="2">
        <v>26999.05</v>
      </c>
      <c r="AF196" s="2">
        <v>27000</v>
      </c>
      <c r="AG196" s="90">
        <v>8.2432</v>
      </c>
      <c r="AH196" s="76">
        <f t="shared" si="19"/>
        <v>7.9999849228418185</v>
      </c>
      <c r="AI196" s="77">
        <f t="shared" si="20"/>
        <v>215991.9929310524</v>
      </c>
    </row>
    <row r="197" spans="15:35" ht="12.75">
      <c r="O197" s="73">
        <v>40994</v>
      </c>
      <c r="P197" s="74" t="s">
        <v>158</v>
      </c>
      <c r="Q197" s="74">
        <v>100</v>
      </c>
      <c r="R197" s="75">
        <v>8.4999</v>
      </c>
      <c r="S197" s="74">
        <v>8.7747</v>
      </c>
      <c r="T197" s="74">
        <v>100000</v>
      </c>
      <c r="U197" s="95">
        <v>100000</v>
      </c>
      <c r="V197" s="76">
        <f t="shared" si="17"/>
        <v>8.499909707199915</v>
      </c>
      <c r="W197" s="77">
        <f t="shared" si="18"/>
        <v>849990.9707199915</v>
      </c>
      <c r="AA197" t="s">
        <v>24</v>
      </c>
      <c r="AB197" s="2">
        <v>8</v>
      </c>
      <c r="AC197" s="2">
        <v>1779</v>
      </c>
      <c r="AD197" s="2">
        <v>99.9965</v>
      </c>
      <c r="AE197" s="2">
        <v>99996.46</v>
      </c>
      <c r="AF197" s="2">
        <v>100000</v>
      </c>
      <c r="AG197" s="90">
        <v>8.2432</v>
      </c>
      <c r="AH197" s="76">
        <f t="shared" si="19"/>
        <v>7.9999849228418185</v>
      </c>
      <c r="AI197" s="77">
        <f t="shared" si="20"/>
        <v>799970.1723375551</v>
      </c>
    </row>
    <row r="198" spans="15:35" ht="12.75">
      <c r="O198" s="73">
        <v>40994</v>
      </c>
      <c r="P198" s="74" t="s">
        <v>158</v>
      </c>
      <c r="Q198" s="74">
        <v>100</v>
      </c>
      <c r="R198" s="75">
        <v>8.5</v>
      </c>
      <c r="S198" s="74">
        <v>8.7748</v>
      </c>
      <c r="T198" s="74">
        <v>3000000</v>
      </c>
      <c r="U198" s="95">
        <v>3000000</v>
      </c>
      <c r="V198" s="76">
        <f t="shared" si="17"/>
        <v>8.500003593868666</v>
      </c>
      <c r="W198" s="77">
        <f t="shared" si="18"/>
        <v>25500010.781605996</v>
      </c>
      <c r="AA198" t="s">
        <v>24</v>
      </c>
      <c r="AB198" s="2">
        <v>8</v>
      </c>
      <c r="AC198" s="2">
        <v>1800</v>
      </c>
      <c r="AD198" s="2">
        <v>100</v>
      </c>
      <c r="AE198" s="2">
        <v>100000</v>
      </c>
      <c r="AF198" s="2">
        <v>100000</v>
      </c>
      <c r="AG198" s="90">
        <v>8.2432</v>
      </c>
      <c r="AH198" s="76">
        <f t="shared" si="19"/>
        <v>7.9999849228418185</v>
      </c>
      <c r="AI198" s="77">
        <f t="shared" si="20"/>
        <v>799998.4922841819</v>
      </c>
    </row>
    <row r="199" spans="15:35" ht="12.75">
      <c r="O199" s="73">
        <v>41016</v>
      </c>
      <c r="P199" s="74" t="s">
        <v>158</v>
      </c>
      <c r="Q199" s="74">
        <v>99.996</v>
      </c>
      <c r="R199" s="75">
        <v>8.5</v>
      </c>
      <c r="S199" s="74">
        <v>8.7748</v>
      </c>
      <c r="T199" s="74">
        <v>4199832.46</v>
      </c>
      <c r="U199" s="95">
        <v>4199832.46</v>
      </c>
      <c r="V199" s="76">
        <f t="shared" si="17"/>
        <v>8.500003593868666</v>
      </c>
      <c r="W199" s="77">
        <f t="shared" si="18"/>
        <v>35698591.00364628</v>
      </c>
      <c r="AA199" t="s">
        <v>24</v>
      </c>
      <c r="AB199" s="2">
        <v>8</v>
      </c>
      <c r="AC199" s="2">
        <v>1799</v>
      </c>
      <c r="AD199" s="2">
        <v>99.9998</v>
      </c>
      <c r="AE199" s="2">
        <v>19999.96</v>
      </c>
      <c r="AF199" s="2">
        <v>20000</v>
      </c>
      <c r="AG199" s="90">
        <v>8.2432</v>
      </c>
      <c r="AH199" s="76">
        <f t="shared" si="19"/>
        <v>7.9999849228418185</v>
      </c>
      <c r="AI199" s="77">
        <f t="shared" si="20"/>
        <v>159999.37845743945</v>
      </c>
    </row>
    <row r="200" spans="15:35" ht="12.75">
      <c r="O200" s="73">
        <v>41009</v>
      </c>
      <c r="P200" s="74" t="s">
        <v>158</v>
      </c>
      <c r="Q200" s="74">
        <v>99.9971</v>
      </c>
      <c r="R200" s="75">
        <v>8.5</v>
      </c>
      <c r="S200" s="74">
        <v>8.7748</v>
      </c>
      <c r="T200" s="74">
        <v>4679862.99</v>
      </c>
      <c r="U200" s="95">
        <v>4679862.99</v>
      </c>
      <c r="V200" s="76">
        <f t="shared" si="17"/>
        <v>8.500003593868666</v>
      </c>
      <c r="W200" s="77">
        <f t="shared" si="18"/>
        <v>39778852.233812965</v>
      </c>
      <c r="AA200" t="s">
        <v>24</v>
      </c>
      <c r="AB200" s="2">
        <v>0</v>
      </c>
      <c r="AC200" s="2">
        <v>1020</v>
      </c>
      <c r="AD200" s="2">
        <v>100</v>
      </c>
      <c r="AE200" s="2">
        <v>15111.11</v>
      </c>
      <c r="AF200" s="2">
        <v>15111.11</v>
      </c>
      <c r="AG200" s="90">
        <v>8.3</v>
      </c>
      <c r="AH200" s="76">
        <f t="shared" si="19"/>
        <v>8.053498308212603</v>
      </c>
      <c r="AI200" s="77">
        <f t="shared" si="20"/>
        <v>121697.29882021455</v>
      </c>
    </row>
    <row r="201" spans="15:35" ht="12.75">
      <c r="O201" s="73">
        <v>41009</v>
      </c>
      <c r="P201" s="74" t="s">
        <v>114</v>
      </c>
      <c r="Q201" s="74">
        <v>99.9994</v>
      </c>
      <c r="R201" s="75">
        <v>6.5</v>
      </c>
      <c r="S201" s="74">
        <v>6.6602</v>
      </c>
      <c r="T201" s="74">
        <v>549999.2</v>
      </c>
      <c r="U201" s="95">
        <v>549999.2</v>
      </c>
      <c r="V201" s="76">
        <f t="shared" si="17"/>
        <v>6.500037274046466</v>
      </c>
      <c r="W201" s="77">
        <f t="shared" si="18"/>
        <v>3575015.300695737</v>
      </c>
      <c r="AA201" t="s">
        <v>24</v>
      </c>
      <c r="AB201" s="2">
        <v>7.75</v>
      </c>
      <c r="AC201" s="2">
        <v>1406</v>
      </c>
      <c r="AD201" s="2">
        <v>99.9956</v>
      </c>
      <c r="AE201" s="2">
        <v>199991.27</v>
      </c>
      <c r="AF201" s="2">
        <v>200000</v>
      </c>
      <c r="AG201" s="90">
        <v>7.9782</v>
      </c>
      <c r="AH201" s="76">
        <f t="shared" si="19"/>
        <v>7.750039891905658</v>
      </c>
      <c r="AI201" s="77">
        <f t="shared" si="20"/>
        <v>1549940.3205328751</v>
      </c>
    </row>
    <row r="202" spans="15:35" ht="12.75">
      <c r="O202" s="73">
        <v>41012</v>
      </c>
      <c r="P202" s="74" t="s">
        <v>114</v>
      </c>
      <c r="Q202" s="74">
        <v>99.9991</v>
      </c>
      <c r="R202" s="75">
        <v>6.5</v>
      </c>
      <c r="S202" s="74">
        <v>6.6602</v>
      </c>
      <c r="T202" s="74">
        <v>297497.21</v>
      </c>
      <c r="U202" s="95">
        <v>297497.21</v>
      </c>
      <c r="V202" s="76">
        <f t="shared" si="17"/>
        <v>6.500037274046466</v>
      </c>
      <c r="W202" s="77">
        <f t="shared" si="18"/>
        <v>1933742.9539248291</v>
      </c>
      <c r="AA202" t="s">
        <v>24</v>
      </c>
      <c r="AB202" s="2">
        <v>7.75</v>
      </c>
      <c r="AC202" s="2">
        <v>1394</v>
      </c>
      <c r="AD202" s="2">
        <v>99.9954</v>
      </c>
      <c r="AE202" s="2">
        <v>74996.52</v>
      </c>
      <c r="AF202" s="2">
        <v>75000</v>
      </c>
      <c r="AG202" s="90">
        <v>7.9782</v>
      </c>
      <c r="AH202" s="76">
        <f t="shared" si="19"/>
        <v>7.750039891905658</v>
      </c>
      <c r="AI202" s="77">
        <f t="shared" si="20"/>
        <v>581226.0217541006</v>
      </c>
    </row>
    <row r="203" spans="15:35" ht="12.75">
      <c r="O203" s="73">
        <v>40945</v>
      </c>
      <c r="P203" s="74" t="s">
        <v>114</v>
      </c>
      <c r="Q203" s="74">
        <v>99.9971</v>
      </c>
      <c r="R203" s="75">
        <v>6.5</v>
      </c>
      <c r="S203" s="74">
        <v>6.6602</v>
      </c>
      <c r="T203" s="74">
        <v>12499.32</v>
      </c>
      <c r="U203" s="95">
        <v>12499.32</v>
      </c>
      <c r="V203" s="76">
        <f t="shared" si="17"/>
        <v>6.500037274046466</v>
      </c>
      <c r="W203" s="77">
        <f t="shared" si="18"/>
        <v>81246.04590023447</v>
      </c>
      <c r="AA203" t="s">
        <v>24</v>
      </c>
      <c r="AB203" s="2">
        <v>8</v>
      </c>
      <c r="AC203" s="2">
        <v>1771</v>
      </c>
      <c r="AD203" s="2">
        <v>99.9957</v>
      </c>
      <c r="AE203" s="2">
        <v>1396939.65</v>
      </c>
      <c r="AF203" s="2">
        <v>1397000</v>
      </c>
      <c r="AG203" s="90">
        <v>8.2432</v>
      </c>
      <c r="AH203" s="76">
        <f t="shared" si="19"/>
        <v>7.9999849228418185</v>
      </c>
      <c r="AI203" s="77">
        <f t="shared" si="20"/>
        <v>11175496.138119927</v>
      </c>
    </row>
    <row r="204" spans="15:35" ht="12.75">
      <c r="O204" s="73">
        <v>40987</v>
      </c>
      <c r="P204" s="74" t="s">
        <v>114</v>
      </c>
      <c r="Q204" s="74">
        <v>99.998</v>
      </c>
      <c r="R204" s="75">
        <v>6.5</v>
      </c>
      <c r="S204" s="74">
        <v>6.6602</v>
      </c>
      <c r="T204" s="74">
        <v>129996.76</v>
      </c>
      <c r="U204" s="95">
        <v>129996.76</v>
      </c>
      <c r="V204" s="76">
        <f t="shared" si="17"/>
        <v>6.500037274046466</v>
      </c>
      <c r="W204" s="77">
        <f t="shared" si="18"/>
        <v>844983.7855052727</v>
      </c>
      <c r="AA204" t="s">
        <v>24</v>
      </c>
      <c r="AB204" s="2">
        <v>0</v>
      </c>
      <c r="AC204" s="2">
        <v>1059</v>
      </c>
      <c r="AD204" s="2">
        <v>100</v>
      </c>
      <c r="AE204" s="2">
        <v>200000</v>
      </c>
      <c r="AF204" s="2">
        <v>200000</v>
      </c>
      <c r="AG204" s="90">
        <v>8.2996</v>
      </c>
      <c r="AH204" s="76">
        <f t="shared" si="19"/>
        <v>8.053121526990559</v>
      </c>
      <c r="AI204" s="77">
        <f t="shared" si="20"/>
        <v>1610624.3053981117</v>
      </c>
    </row>
    <row r="205" spans="15:35" ht="12.75">
      <c r="O205" s="73">
        <v>40983</v>
      </c>
      <c r="P205" s="74" t="s">
        <v>114</v>
      </c>
      <c r="Q205" s="74">
        <v>99.9977</v>
      </c>
      <c r="R205" s="75">
        <v>6.5</v>
      </c>
      <c r="S205" s="74">
        <v>6.6602</v>
      </c>
      <c r="T205" s="74">
        <v>749983</v>
      </c>
      <c r="U205" s="95">
        <v>749983</v>
      </c>
      <c r="V205" s="76">
        <f t="shared" si="17"/>
        <v>6.500037274046466</v>
      </c>
      <c r="W205" s="77">
        <f t="shared" si="18"/>
        <v>4874917.4549011905</v>
      </c>
      <c r="AA205" t="s">
        <v>24</v>
      </c>
      <c r="AB205" s="2">
        <v>8</v>
      </c>
      <c r="AC205" s="2">
        <v>1777</v>
      </c>
      <c r="AD205" s="2">
        <v>99.9962</v>
      </c>
      <c r="AE205" s="2">
        <v>99996.24</v>
      </c>
      <c r="AF205" s="2">
        <v>100000</v>
      </c>
      <c r="AG205" s="90">
        <v>8.2432</v>
      </c>
      <c r="AH205" s="76">
        <f t="shared" si="19"/>
        <v>7.9999849228418185</v>
      </c>
      <c r="AI205" s="77">
        <f t="shared" si="20"/>
        <v>799968.412340872</v>
      </c>
    </row>
    <row r="206" spans="15:35" ht="12.75">
      <c r="O206" s="73">
        <v>40954</v>
      </c>
      <c r="P206" s="74" t="s">
        <v>114</v>
      </c>
      <c r="Q206" s="74">
        <v>99.9968</v>
      </c>
      <c r="R206" s="75">
        <v>6.5</v>
      </c>
      <c r="S206" s="74">
        <v>6.6602</v>
      </c>
      <c r="T206" s="74">
        <v>168744.57</v>
      </c>
      <c r="U206" s="95">
        <v>168744.57</v>
      </c>
      <c r="V206" s="76">
        <f t="shared" si="17"/>
        <v>6.500037274046466</v>
      </c>
      <c r="W206" s="77">
        <f t="shared" si="18"/>
        <v>1096845.9947929431</v>
      </c>
      <c r="AA206" t="s">
        <v>24</v>
      </c>
      <c r="AB206" s="2">
        <v>8</v>
      </c>
      <c r="AC206" s="2">
        <v>1783</v>
      </c>
      <c r="AD206" s="2">
        <v>99.997</v>
      </c>
      <c r="AE206" s="2">
        <v>499984.86</v>
      </c>
      <c r="AF206" s="2">
        <v>500000</v>
      </c>
      <c r="AG206" s="90">
        <v>8.2432</v>
      </c>
      <c r="AH206" s="76">
        <f t="shared" si="19"/>
        <v>7.9999849228418185</v>
      </c>
      <c r="AI206" s="77">
        <f t="shared" si="20"/>
        <v>3999871.3416491775</v>
      </c>
    </row>
    <row r="207" spans="15:35" ht="12.75">
      <c r="O207" s="73">
        <v>40942</v>
      </c>
      <c r="P207" s="74" t="s">
        <v>114</v>
      </c>
      <c r="Q207" s="74">
        <v>99.9971</v>
      </c>
      <c r="R207" s="75">
        <v>6.5</v>
      </c>
      <c r="S207" s="74">
        <v>6.6602</v>
      </c>
      <c r="T207" s="74">
        <v>187494.55</v>
      </c>
      <c r="U207" s="95">
        <v>187494.55</v>
      </c>
      <c r="V207" s="76">
        <f t="shared" si="17"/>
        <v>6.500037274046466</v>
      </c>
      <c r="W207" s="77">
        <f t="shared" si="18"/>
        <v>1218721.5636805687</v>
      </c>
      <c r="AA207" t="s">
        <v>24</v>
      </c>
      <c r="AB207" s="2">
        <v>8</v>
      </c>
      <c r="AC207" s="2">
        <v>1787</v>
      </c>
      <c r="AD207" s="2">
        <v>99.9976</v>
      </c>
      <c r="AE207" s="2">
        <v>5999.85</v>
      </c>
      <c r="AF207" s="2">
        <v>6000</v>
      </c>
      <c r="AG207" s="90">
        <v>8.2432</v>
      </c>
      <c r="AH207" s="76">
        <f t="shared" si="19"/>
        <v>7.9999849228418185</v>
      </c>
      <c r="AI207" s="77">
        <f t="shared" si="20"/>
        <v>47998.70953931249</v>
      </c>
    </row>
    <row r="208" spans="15:35" ht="12.75">
      <c r="O208" s="73">
        <v>40963</v>
      </c>
      <c r="P208" s="74" t="s">
        <v>114</v>
      </c>
      <c r="Q208" s="74">
        <v>99.9967</v>
      </c>
      <c r="R208" s="75">
        <v>6.5</v>
      </c>
      <c r="S208" s="74">
        <v>6.6602</v>
      </c>
      <c r="T208" s="74">
        <v>5146707.2</v>
      </c>
      <c r="U208" s="95">
        <v>5146707.2</v>
      </c>
      <c r="V208" s="76">
        <f t="shared" si="17"/>
        <v>6.500037274046466</v>
      </c>
      <c r="W208" s="77">
        <f t="shared" si="18"/>
        <v>33453788.638603322</v>
      </c>
      <c r="AA208" t="s">
        <v>24</v>
      </c>
      <c r="AB208" s="2">
        <v>8</v>
      </c>
      <c r="AC208" s="2">
        <v>1785</v>
      </c>
      <c r="AD208" s="2">
        <v>99.9973</v>
      </c>
      <c r="AE208" s="2">
        <v>99997.26</v>
      </c>
      <c r="AF208" s="2">
        <v>100000</v>
      </c>
      <c r="AG208" s="90">
        <v>8.2432</v>
      </c>
      <c r="AH208" s="76">
        <f t="shared" si="19"/>
        <v>7.9999849228418185</v>
      </c>
      <c r="AI208" s="77">
        <f t="shared" si="20"/>
        <v>799976.5723254932</v>
      </c>
    </row>
    <row r="209" spans="15:37" ht="12.75">
      <c r="O209" s="81">
        <v>40968</v>
      </c>
      <c r="P209" s="82" t="s">
        <v>114</v>
      </c>
      <c r="Q209" s="82">
        <v>99.9968</v>
      </c>
      <c r="R209" s="83">
        <v>6.5</v>
      </c>
      <c r="S209" s="82">
        <v>6.6602</v>
      </c>
      <c r="T209" s="82">
        <v>149995.24</v>
      </c>
      <c r="U209" s="96">
        <v>149995.24</v>
      </c>
      <c r="V209" s="76">
        <f t="shared" si="17"/>
        <v>6.500037274046466</v>
      </c>
      <c r="W209" s="77">
        <f t="shared" si="18"/>
        <v>974974.6509295454</v>
      </c>
      <c r="AA209" t="s">
        <v>24</v>
      </c>
      <c r="AB209" s="2">
        <v>7.75</v>
      </c>
      <c r="AC209" s="2">
        <v>1428</v>
      </c>
      <c r="AD209" s="2">
        <v>99.9979</v>
      </c>
      <c r="AE209" s="2">
        <v>29999.37</v>
      </c>
      <c r="AF209" s="2">
        <v>30000</v>
      </c>
      <c r="AG209" s="90">
        <v>7.9782</v>
      </c>
      <c r="AH209" s="76">
        <f t="shared" si="19"/>
        <v>7.750039891905658</v>
      </c>
      <c r="AI209" s="77">
        <f t="shared" si="20"/>
        <v>232496.31423203784</v>
      </c>
      <c r="AJ209" s="14">
        <f>+SUM(AI191:AI209)/SUM(AF191:AF209)</f>
        <v>7.977856237790484</v>
      </c>
      <c r="AK209" s="14">
        <f>+SUM(AI191:AI209)</f>
        <v>25612259.64949984</v>
      </c>
    </row>
    <row r="210" spans="16:37" ht="12.75">
      <c r="P210" s="88" t="s">
        <v>189</v>
      </c>
      <c r="U210" s="14">
        <f>+SUM(U5:U209)</f>
        <v>114716892.32999995</v>
      </c>
      <c r="V210" s="14"/>
      <c r="W210" s="14">
        <f>+SUM(W5:W209)</f>
        <v>909888927.5069752</v>
      </c>
      <c r="X210" s="77">
        <f>+SUM(W210)/SUM(U210)</f>
        <v>7.93160369869109</v>
      </c>
      <c r="Y210" s="77"/>
      <c r="AA210" t="s">
        <v>11</v>
      </c>
      <c r="AC210" s="2">
        <f>SUM(AC5:AC209)</f>
        <v>280273</v>
      </c>
      <c r="AD210" s="2">
        <f>SUM(AD5:AD209)</f>
        <v>19148.399826000004</v>
      </c>
      <c r="AE210" s="2">
        <f>SUM(AE5:AE209)</f>
        <v>117081028.00999996</v>
      </c>
      <c r="AF210" s="2">
        <f>SUM(AF5:AF209)</f>
        <v>116310527.63999997</v>
      </c>
      <c r="AH210" s="2"/>
      <c r="AI210" s="2"/>
      <c r="AJ210" s="14">
        <f>+SUM(AI5:AI209)</f>
        <v>927945041.4411383</v>
      </c>
      <c r="AK210" s="14">
        <f>+SUM(AJ210)/SUM(AF210)</f>
        <v>7.97816896088099</v>
      </c>
    </row>
  </sheetData>
  <sheetProtection/>
  <conditionalFormatting sqref="H18">
    <cfRule type="expression" priority="1" dxfId="0" stopIfTrue="1">
      <formula>"k29=NO"</formula>
    </cfRule>
    <cfRule type="expression" priority="2" dxfId="2" stopIfTrue="1">
      <formula>"K29=SI"</formula>
    </cfRule>
  </conditionalFormatting>
  <conditionalFormatting sqref="I18:L18">
    <cfRule type="expression" priority="3" dxfId="1" stopIfTrue="1">
      <formula>$I$18="SI"</formula>
    </cfRule>
    <cfRule type="expression" priority="4" dxfId="0" stopIfTrue="1">
      <formula>$I$18&lt;&gt;"SI"</formula>
    </cfRule>
  </conditionalFormatting>
  <printOptions/>
  <pageMargins left="0.75" right="0.75" top="1.534251969" bottom="1" header="0" footer="0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53" sqref="E53"/>
    </sheetView>
  </sheetViews>
  <sheetFormatPr defaultColWidth="11.421875" defaultRowHeight="12.75"/>
  <cols>
    <col min="1" max="1" width="9.00390625" style="0" customWidth="1"/>
    <col min="2" max="2" width="13.57421875" style="0" customWidth="1"/>
    <col min="3" max="3" width="13.8515625" style="0" customWidth="1"/>
    <col min="4" max="4" width="14.8515625" style="0" customWidth="1"/>
    <col min="5" max="5" width="12.57421875" style="0" customWidth="1"/>
    <col min="6" max="7" width="12.28125" style="0" customWidth="1"/>
    <col min="11" max="11" width="12.28125" style="0" customWidth="1"/>
  </cols>
  <sheetData>
    <row r="1" spans="1:11" ht="15.75">
      <c r="A1" s="162" t="e">
        <f>+#REF!</f>
        <v>#REF!</v>
      </c>
      <c r="B1" s="163" t="s">
        <v>202</v>
      </c>
      <c r="C1" s="163"/>
      <c r="J1" t="s">
        <v>47</v>
      </c>
      <c r="K1" t="e">
        <f>CONCATENATE(J1," ",TEXT(A1,"mmm-aaa"))</f>
        <v>#REF!</v>
      </c>
    </row>
    <row r="3" spans="1:7" ht="12.75">
      <c r="A3" s="1"/>
      <c r="B3" s="1"/>
      <c r="C3" s="1"/>
      <c r="D3" s="1"/>
      <c r="E3" s="1"/>
      <c r="F3" s="1"/>
      <c r="G3" s="1"/>
    </row>
    <row r="4" spans="1:5" ht="12.75">
      <c r="A4" s="1" t="s">
        <v>203</v>
      </c>
      <c r="B4" s="1" t="s">
        <v>19</v>
      </c>
      <c r="C4" s="1" t="s">
        <v>95</v>
      </c>
      <c r="D4" s="1" t="s">
        <v>204</v>
      </c>
      <c r="E4" s="1" t="s">
        <v>83</v>
      </c>
    </row>
    <row r="5" spans="1:5" ht="12.75">
      <c r="A5" t="s">
        <v>38</v>
      </c>
      <c r="B5" s="26">
        <v>31308560.710000005</v>
      </c>
      <c r="C5" s="26">
        <v>3146657757.2881856</v>
      </c>
      <c r="D5" s="26">
        <v>36116062365.9</v>
      </c>
      <c r="E5" s="26">
        <v>216336036.50755602</v>
      </c>
    </row>
    <row r="6" spans="2:5" ht="12.75">
      <c r="B6" s="26"/>
      <c r="C6" s="26"/>
      <c r="D6" s="26"/>
      <c r="E6" s="26"/>
    </row>
    <row r="7" spans="2:5" ht="12.75">
      <c r="B7" s="26">
        <f>SUM(B5:B6)</f>
        <v>31308560.710000005</v>
      </c>
      <c r="C7" s="26">
        <f>SUM(C5:C6)</f>
        <v>3146657757.2881856</v>
      </c>
      <c r="D7" s="26">
        <f>SUM(D5:D6)</f>
        <v>36116062365.9</v>
      </c>
      <c r="E7" s="26">
        <f>SUM(E5:E6)</f>
        <v>216336036.50755602</v>
      </c>
    </row>
    <row r="9" spans="2:5" ht="12.75">
      <c r="B9" s="17" t="e">
        <f>+A1</f>
        <v>#REF!</v>
      </c>
      <c r="C9" s="50">
        <f>+C7/B7</f>
        <v>100.5047081670266</v>
      </c>
      <c r="D9" s="26">
        <f>+D7/B7</f>
        <v>1153.5523047651461</v>
      </c>
      <c r="E9" s="50">
        <f>+E7/B7</f>
        <v>6.909804590233302</v>
      </c>
    </row>
    <row r="10" spans="2:5" ht="12.75">
      <c r="B10" s="17"/>
      <c r="C10" s="50"/>
      <c r="D10" s="26"/>
      <c r="E10" s="50"/>
    </row>
    <row r="11" spans="1:5" ht="15.75">
      <c r="A11" s="162" t="e">
        <f>+A1-25</f>
        <v>#REF!</v>
      </c>
      <c r="B11" s="17"/>
      <c r="C11" s="50"/>
      <c r="D11" s="26"/>
      <c r="E11" s="50"/>
    </row>
    <row r="12" spans="2:5" ht="12.75">
      <c r="B12" s="17"/>
      <c r="C12" s="50"/>
      <c r="D12" s="26"/>
      <c r="E12" s="50"/>
    </row>
    <row r="13" spans="1:5" ht="12.75">
      <c r="A13" s="1" t="s">
        <v>203</v>
      </c>
      <c r="B13" s="1" t="s">
        <v>19</v>
      </c>
      <c r="C13" s="1" t="s">
        <v>95</v>
      </c>
      <c r="D13" s="1" t="s">
        <v>204</v>
      </c>
      <c r="E13" s="1" t="s">
        <v>83</v>
      </c>
    </row>
    <row r="14" spans="1:5" ht="12.75">
      <c r="A14" t="s">
        <v>38</v>
      </c>
      <c r="B14" s="26">
        <v>18696266.369999994</v>
      </c>
      <c r="C14" s="26">
        <v>1891213265.2187328</v>
      </c>
      <c r="D14" s="26">
        <v>28278744769.28001</v>
      </c>
      <c r="E14" s="26">
        <v>136776057.744679</v>
      </c>
    </row>
    <row r="15" spans="2:5" ht="12.75">
      <c r="B15" s="26"/>
      <c r="C15" s="26"/>
      <c r="D15" s="26"/>
      <c r="E15" s="26"/>
    </row>
    <row r="16" spans="2:5" ht="12.75">
      <c r="B16" s="26">
        <f>SUM(B14:B15)</f>
        <v>18696266.369999994</v>
      </c>
      <c r="C16" s="26">
        <f>SUM(C14:C15)</f>
        <v>1891213265.2187328</v>
      </c>
      <c r="D16" s="26">
        <f>SUM(D14:D15)</f>
        <v>28278744769.28001</v>
      </c>
      <c r="E16" s="26">
        <f>SUM(E14:E15)</f>
        <v>136776057.744679</v>
      </c>
    </row>
    <row r="18" spans="2:5" ht="12.75">
      <c r="B18" s="17" t="e">
        <f>+A11</f>
        <v>#REF!</v>
      </c>
      <c r="C18" s="50">
        <f>+C16/B16</f>
        <v>101.15459567121762</v>
      </c>
      <c r="D18" s="26">
        <f>+D16/B16</f>
        <v>1512.534332237374</v>
      </c>
      <c r="E18" s="50">
        <f>+E16/B16</f>
        <v>7.315688332519144</v>
      </c>
    </row>
    <row r="19" spans="2:5" ht="12.75">
      <c r="B19" s="17"/>
      <c r="C19" s="50"/>
      <c r="D19" s="26"/>
      <c r="E19" s="50"/>
    </row>
    <row r="20" spans="2:5" ht="12.75">
      <c r="B20" s="17"/>
      <c r="C20" s="50"/>
      <c r="D20" s="26"/>
      <c r="E20" s="50"/>
    </row>
    <row r="21" spans="2:5" ht="12.75">
      <c r="B21" s="17"/>
      <c r="C21" s="50"/>
      <c r="D21" s="26"/>
      <c r="E21" s="50"/>
    </row>
    <row r="22" spans="1:5" ht="15.75">
      <c r="A22" s="162" t="e">
        <f>+A1-360</f>
        <v>#REF!</v>
      </c>
      <c r="B22" s="17"/>
      <c r="C22" s="50"/>
      <c r="D22" s="26"/>
      <c r="E22" s="50"/>
    </row>
    <row r="23" spans="2:5" ht="12.75">
      <c r="B23" s="17"/>
      <c r="C23" s="50"/>
      <c r="D23" s="26"/>
      <c r="E23" s="50"/>
    </row>
    <row r="24" spans="1:5" ht="12.75">
      <c r="A24" s="1" t="s">
        <v>203</v>
      </c>
      <c r="B24" s="1" t="s">
        <v>19</v>
      </c>
      <c r="C24" s="1" t="s">
        <v>95</v>
      </c>
      <c r="D24" s="1" t="s">
        <v>204</v>
      </c>
      <c r="E24" s="1" t="s">
        <v>83</v>
      </c>
    </row>
    <row r="25" spans="1:5" ht="12.75">
      <c r="A25" t="s">
        <v>38</v>
      </c>
      <c r="B25" s="26">
        <v>18565870.23</v>
      </c>
      <c r="C25" s="26">
        <v>1874653120.8358457</v>
      </c>
      <c r="D25" s="26">
        <v>32569863178.43999</v>
      </c>
      <c r="E25" s="26">
        <v>135245267.488528</v>
      </c>
    </row>
    <row r="26" spans="2:5" ht="12.75">
      <c r="B26" s="26"/>
      <c r="C26" s="26"/>
      <c r="D26" s="26"/>
      <c r="E26" s="26"/>
    </row>
    <row r="27" spans="2:5" ht="12.75">
      <c r="B27" s="26">
        <f>SUM(B25:B26)</f>
        <v>18565870.23</v>
      </c>
      <c r="C27" s="26">
        <f>SUM(C25:C26)</f>
        <v>1874653120.8358457</v>
      </c>
      <c r="D27" s="26">
        <f>SUM(D25:D26)</f>
        <v>32569863178.43999</v>
      </c>
      <c r="E27" s="26">
        <f>SUM(E25:E26)</f>
        <v>135245267.488528</v>
      </c>
    </row>
    <row r="29" spans="2:5" ht="12.75">
      <c r="B29" s="17" t="e">
        <f>+A22</f>
        <v>#REF!</v>
      </c>
      <c r="C29" s="50">
        <f>+C27/B27</f>
        <v>100.97308112208246</v>
      </c>
      <c r="D29" s="26">
        <f>+D27/B27</f>
        <v>1754.2869132959565</v>
      </c>
      <c r="E29" s="50">
        <f>+E27/B27</f>
        <v>7.284617732057045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79">
      <selection activeCell="E53" sqref="E53"/>
    </sheetView>
  </sheetViews>
  <sheetFormatPr defaultColWidth="11.421875" defaultRowHeight="12.75"/>
  <cols>
    <col min="1" max="1" width="40.28125" style="0" customWidth="1"/>
    <col min="2" max="2" width="8.28125" style="0" bestFit="1" customWidth="1"/>
    <col min="3" max="3" width="7.7109375" style="0" bestFit="1" customWidth="1"/>
    <col min="4" max="4" width="8.421875" style="0" bestFit="1" customWidth="1"/>
    <col min="5" max="6" width="8.421875" style="0" customWidth="1"/>
    <col min="7" max="7" width="6.28125" style="0" bestFit="1" customWidth="1"/>
    <col min="9" max="9" width="42.28125" style="0" customWidth="1"/>
    <col min="10" max="10" width="27.00390625" style="0" customWidth="1"/>
    <col min="11" max="11" width="15.140625" style="0" bestFit="1" customWidth="1"/>
  </cols>
  <sheetData>
    <row r="1" spans="2:11" ht="12.75">
      <c r="B1">
        <v>2008</v>
      </c>
      <c r="C1">
        <v>2009</v>
      </c>
      <c r="D1">
        <v>2010</v>
      </c>
      <c r="E1">
        <v>2011</v>
      </c>
      <c r="F1">
        <v>2012</v>
      </c>
      <c r="G1">
        <v>2014</v>
      </c>
      <c r="I1" s="44" t="s">
        <v>0</v>
      </c>
      <c r="J1" s="44" t="s">
        <v>39</v>
      </c>
      <c r="K1">
        <f>+G1</f>
        <v>2014</v>
      </c>
    </row>
    <row r="2" spans="1:10" ht="12.75">
      <c r="A2" t="s">
        <v>38</v>
      </c>
      <c r="B2">
        <v>478</v>
      </c>
      <c r="C2">
        <v>555</v>
      </c>
      <c r="D2">
        <v>407</v>
      </c>
      <c r="E2">
        <v>472</v>
      </c>
      <c r="F2">
        <v>483</v>
      </c>
      <c r="G2">
        <f>+J51</f>
        <v>333</v>
      </c>
      <c r="H2" s="1"/>
      <c r="I2" t="s">
        <v>444</v>
      </c>
      <c r="J2">
        <v>7</v>
      </c>
    </row>
    <row r="3" spans="9:10" ht="12.75">
      <c r="I3" t="s">
        <v>115</v>
      </c>
      <c r="J3">
        <v>3</v>
      </c>
    </row>
    <row r="4" spans="9:10" ht="12.75">
      <c r="I4" t="s">
        <v>434</v>
      </c>
      <c r="J4">
        <v>13</v>
      </c>
    </row>
    <row r="5" spans="9:10" ht="12.75">
      <c r="I5" t="s">
        <v>429</v>
      </c>
      <c r="J5">
        <v>10</v>
      </c>
    </row>
    <row r="6" spans="9:10" ht="12.75">
      <c r="I6" t="s">
        <v>287</v>
      </c>
      <c r="J6">
        <v>1</v>
      </c>
    </row>
    <row r="7" spans="2:10" ht="12.75">
      <c r="B7" s="17" t="e">
        <f>+#REF!</f>
        <v>#REF!</v>
      </c>
      <c r="C7" s="17" t="e">
        <f>+B7-15</f>
        <v>#REF!</v>
      </c>
      <c r="D7" s="17" t="e">
        <f>+B7-360</f>
        <v>#REF!</v>
      </c>
      <c r="E7" s="17"/>
      <c r="F7" s="17"/>
      <c r="I7" t="s">
        <v>288</v>
      </c>
      <c r="J7">
        <v>4</v>
      </c>
    </row>
    <row r="8" spans="1:10" ht="12.75">
      <c r="A8" t="s">
        <v>38</v>
      </c>
      <c r="B8">
        <f>+J72</f>
        <v>84</v>
      </c>
      <c r="C8">
        <f>+J99</f>
        <v>64</v>
      </c>
      <c r="D8">
        <f>+J124</f>
        <v>70</v>
      </c>
      <c r="I8" t="s">
        <v>446</v>
      </c>
      <c r="J8">
        <v>3</v>
      </c>
    </row>
    <row r="9" spans="9:10" ht="12.75">
      <c r="I9" t="s">
        <v>97</v>
      </c>
      <c r="J9">
        <v>3</v>
      </c>
    </row>
    <row r="10" spans="9:10" ht="12.75">
      <c r="I10" t="s">
        <v>272</v>
      </c>
      <c r="J10">
        <v>8</v>
      </c>
    </row>
    <row r="11" spans="9:10" ht="12.75">
      <c r="I11" t="s">
        <v>309</v>
      </c>
      <c r="J11">
        <v>5</v>
      </c>
    </row>
    <row r="12" spans="9:10" ht="12.75">
      <c r="I12" t="s">
        <v>430</v>
      </c>
      <c r="J12">
        <v>37</v>
      </c>
    </row>
    <row r="13" spans="9:10" ht="12.75">
      <c r="I13" t="s">
        <v>199</v>
      </c>
      <c r="J13">
        <v>14</v>
      </c>
    </row>
    <row r="14" spans="9:10" ht="12.75">
      <c r="I14" t="s">
        <v>110</v>
      </c>
      <c r="J14">
        <v>2</v>
      </c>
    </row>
    <row r="15" spans="9:10" ht="12.75">
      <c r="I15" t="s">
        <v>290</v>
      </c>
      <c r="J15">
        <v>6</v>
      </c>
    </row>
    <row r="16" spans="9:10" ht="12.75">
      <c r="I16" t="s">
        <v>183</v>
      </c>
      <c r="J16">
        <v>3</v>
      </c>
    </row>
    <row r="17" spans="9:10" ht="12.75">
      <c r="I17" t="s">
        <v>292</v>
      </c>
      <c r="J17">
        <v>11</v>
      </c>
    </row>
    <row r="18" spans="9:10" ht="12.75">
      <c r="I18" t="s">
        <v>363</v>
      </c>
      <c r="J18">
        <v>1</v>
      </c>
    </row>
    <row r="19" spans="9:10" ht="12.75">
      <c r="I19" t="s">
        <v>302</v>
      </c>
      <c r="J19">
        <v>2</v>
      </c>
    </row>
    <row r="20" spans="9:10" ht="12.75">
      <c r="I20" t="s">
        <v>117</v>
      </c>
      <c r="J20">
        <v>4</v>
      </c>
    </row>
    <row r="21" spans="9:11" ht="12.75">
      <c r="I21" t="s">
        <v>119</v>
      </c>
      <c r="J21">
        <v>1</v>
      </c>
      <c r="K21" s="180"/>
    </row>
    <row r="22" spans="9:10" ht="12.75">
      <c r="I22" t="s">
        <v>156</v>
      </c>
      <c r="J22">
        <v>2</v>
      </c>
    </row>
    <row r="23" spans="9:10" ht="12.75">
      <c r="I23" t="s">
        <v>295</v>
      </c>
      <c r="J23">
        <v>4</v>
      </c>
    </row>
    <row r="24" spans="9:10" ht="12.75">
      <c r="I24" t="s">
        <v>410</v>
      </c>
      <c r="J24">
        <v>6</v>
      </c>
    </row>
    <row r="25" spans="9:10" ht="12.75">
      <c r="I25" t="s">
        <v>256</v>
      </c>
      <c r="J25">
        <v>13</v>
      </c>
    </row>
    <row r="26" spans="9:10" ht="12.75">
      <c r="I26" t="s">
        <v>111</v>
      </c>
      <c r="J26">
        <v>4</v>
      </c>
    </row>
    <row r="27" spans="9:10" ht="12.75">
      <c r="I27" t="s">
        <v>436</v>
      </c>
      <c r="J27">
        <v>3</v>
      </c>
    </row>
    <row r="28" spans="9:10" ht="12.75">
      <c r="I28" t="s">
        <v>286</v>
      </c>
      <c r="J28">
        <v>9</v>
      </c>
    </row>
    <row r="29" spans="9:10" ht="12.75">
      <c r="I29" t="s">
        <v>133</v>
      </c>
      <c r="J29">
        <v>3</v>
      </c>
    </row>
    <row r="30" spans="9:11" ht="12.75">
      <c r="I30" t="s">
        <v>435</v>
      </c>
      <c r="J30">
        <v>1</v>
      </c>
      <c r="K30" s="180"/>
    </row>
    <row r="31" spans="9:10" ht="12.75">
      <c r="I31" t="s">
        <v>123</v>
      </c>
      <c r="J31">
        <v>3</v>
      </c>
    </row>
    <row r="32" spans="9:10" ht="12.75">
      <c r="I32" t="s">
        <v>277</v>
      </c>
      <c r="J32">
        <v>14</v>
      </c>
    </row>
    <row r="33" spans="9:10" ht="12.75">
      <c r="I33" t="s">
        <v>304</v>
      </c>
      <c r="J33">
        <v>6</v>
      </c>
    </row>
    <row r="34" spans="9:10" ht="12.75">
      <c r="I34" t="s">
        <v>134</v>
      </c>
      <c r="J34">
        <v>3</v>
      </c>
    </row>
    <row r="35" spans="9:10" ht="12.75">
      <c r="I35" t="s">
        <v>103</v>
      </c>
      <c r="J35">
        <v>3</v>
      </c>
    </row>
    <row r="36" spans="9:10" ht="12.75">
      <c r="I36" t="s">
        <v>432</v>
      </c>
      <c r="J36">
        <v>3</v>
      </c>
    </row>
    <row r="37" spans="9:10" ht="12.75">
      <c r="I37" t="s">
        <v>443</v>
      </c>
      <c r="J37">
        <v>2</v>
      </c>
    </row>
    <row r="38" spans="9:10" ht="12.75">
      <c r="I38" t="s">
        <v>433</v>
      </c>
      <c r="J38">
        <v>6</v>
      </c>
    </row>
    <row r="39" spans="9:10" ht="12.75">
      <c r="I39" t="s">
        <v>427</v>
      </c>
      <c r="J39">
        <v>7</v>
      </c>
    </row>
    <row r="40" spans="9:10" ht="12.75">
      <c r="I40" t="s">
        <v>439</v>
      </c>
      <c r="J40">
        <v>29</v>
      </c>
    </row>
    <row r="41" spans="9:10" ht="12.75">
      <c r="I41" t="s">
        <v>441</v>
      </c>
      <c r="J41">
        <v>1</v>
      </c>
    </row>
    <row r="42" spans="9:10" ht="12.75">
      <c r="I42" t="s">
        <v>100</v>
      </c>
      <c r="J42">
        <v>4</v>
      </c>
    </row>
    <row r="43" spans="9:10" ht="12.75">
      <c r="I43" t="s">
        <v>428</v>
      </c>
      <c r="J43">
        <v>30</v>
      </c>
    </row>
    <row r="44" spans="9:10" ht="12.75">
      <c r="I44" t="s">
        <v>70</v>
      </c>
      <c r="J44">
        <v>5</v>
      </c>
    </row>
    <row r="45" spans="9:11" ht="12.75">
      <c r="I45" t="s">
        <v>104</v>
      </c>
      <c r="J45">
        <v>3</v>
      </c>
      <c r="K45" s="17"/>
    </row>
    <row r="46" spans="9:10" ht="12.75">
      <c r="I46" t="s">
        <v>412</v>
      </c>
      <c r="J46">
        <v>6</v>
      </c>
    </row>
    <row r="47" spans="9:10" ht="12.75">
      <c r="I47" t="s">
        <v>284</v>
      </c>
      <c r="J47">
        <v>6</v>
      </c>
    </row>
    <row r="48" spans="9:10" ht="12.75">
      <c r="I48" t="s">
        <v>198</v>
      </c>
      <c r="J48">
        <v>17</v>
      </c>
    </row>
    <row r="49" spans="9:10" ht="12.75">
      <c r="I49" t="s">
        <v>344</v>
      </c>
      <c r="J49">
        <v>1</v>
      </c>
    </row>
    <row r="50" spans="9:11" ht="12.75">
      <c r="I50" t="s">
        <v>438</v>
      </c>
      <c r="J50">
        <v>1</v>
      </c>
      <c r="K50" s="180"/>
    </row>
    <row r="51" spans="9:10" ht="12.75">
      <c r="I51" s="11" t="s">
        <v>11</v>
      </c>
      <c r="J51">
        <f>SUM(J2:J50)</f>
        <v>333</v>
      </c>
    </row>
    <row r="53" spans="9:10" ht="12.75">
      <c r="I53" s="44" t="s">
        <v>0</v>
      </c>
      <c r="J53" s="44" t="s">
        <v>39</v>
      </c>
    </row>
    <row r="54" spans="9:10" ht="12.75">
      <c r="I54" t="s">
        <v>444</v>
      </c>
      <c r="J54">
        <v>7</v>
      </c>
    </row>
    <row r="55" spans="9:10" ht="12.75">
      <c r="I55" t="s">
        <v>446</v>
      </c>
      <c r="J55">
        <v>3</v>
      </c>
    </row>
    <row r="56" spans="9:10" ht="12.75">
      <c r="I56" t="s">
        <v>430</v>
      </c>
      <c r="J56">
        <v>8</v>
      </c>
    </row>
    <row r="57" spans="9:10" ht="12.75">
      <c r="I57" t="s">
        <v>199</v>
      </c>
      <c r="J57">
        <v>1</v>
      </c>
    </row>
    <row r="58" spans="9:10" ht="12.75">
      <c r="I58" t="s">
        <v>292</v>
      </c>
      <c r="J58">
        <v>2</v>
      </c>
    </row>
    <row r="59" spans="9:10" ht="12.75">
      <c r="I59" t="s">
        <v>117</v>
      </c>
      <c r="J59">
        <v>1</v>
      </c>
    </row>
    <row r="60" spans="9:11" ht="12.75">
      <c r="I60" t="s">
        <v>256</v>
      </c>
      <c r="J60">
        <v>11</v>
      </c>
      <c r="K60" s="17"/>
    </row>
    <row r="61" spans="9:10" ht="12.75">
      <c r="I61" t="s">
        <v>111</v>
      </c>
      <c r="J61">
        <v>1</v>
      </c>
    </row>
    <row r="62" spans="9:10" ht="12.75">
      <c r="I62" t="s">
        <v>286</v>
      </c>
      <c r="J62">
        <v>4</v>
      </c>
    </row>
    <row r="63" spans="9:10" ht="12.75">
      <c r="I63" t="s">
        <v>277</v>
      </c>
      <c r="J63">
        <v>4</v>
      </c>
    </row>
    <row r="64" spans="9:10" ht="12.75">
      <c r="I64" t="s">
        <v>304</v>
      </c>
      <c r="J64">
        <v>3</v>
      </c>
    </row>
    <row r="65" spans="9:10" ht="12.75">
      <c r="I65" t="s">
        <v>443</v>
      </c>
      <c r="J65">
        <v>2</v>
      </c>
    </row>
    <row r="66" spans="9:10" ht="12.75">
      <c r="I66" t="s">
        <v>433</v>
      </c>
      <c r="J66">
        <v>2</v>
      </c>
    </row>
    <row r="67" spans="9:10" ht="12.75">
      <c r="I67" t="s">
        <v>439</v>
      </c>
      <c r="J67">
        <v>23</v>
      </c>
    </row>
    <row r="68" spans="9:10" ht="12.75">
      <c r="I68" t="s">
        <v>100</v>
      </c>
      <c r="J68">
        <v>1</v>
      </c>
    </row>
    <row r="69" spans="9:10" ht="12.75">
      <c r="I69" t="s">
        <v>70</v>
      </c>
      <c r="J69">
        <v>5</v>
      </c>
    </row>
    <row r="70" spans="9:10" ht="12.75">
      <c r="I70" t="s">
        <v>104</v>
      </c>
      <c r="J70">
        <v>3</v>
      </c>
    </row>
    <row r="71" spans="9:10" ht="12.75">
      <c r="I71" t="s">
        <v>284</v>
      </c>
      <c r="J71">
        <v>3</v>
      </c>
    </row>
    <row r="72" spans="9:11" ht="12.75">
      <c r="I72" s="11" t="s">
        <v>11</v>
      </c>
      <c r="J72">
        <f>SUM(J54:J71)</f>
        <v>84</v>
      </c>
      <c r="K72" s="17"/>
    </row>
    <row r="74" spans="9:10" ht="12.75">
      <c r="I74" s="44" t="s">
        <v>0</v>
      </c>
      <c r="J74" s="44" t="s">
        <v>39</v>
      </c>
    </row>
    <row r="75" spans="9:10" ht="12.75">
      <c r="I75" t="s">
        <v>434</v>
      </c>
      <c r="J75">
        <v>3</v>
      </c>
    </row>
    <row r="76" spans="9:10" ht="12.75">
      <c r="I76" t="s">
        <v>429</v>
      </c>
      <c r="J76">
        <v>1</v>
      </c>
    </row>
    <row r="77" spans="9:10" ht="12.75">
      <c r="I77" t="s">
        <v>288</v>
      </c>
      <c r="J77">
        <v>3</v>
      </c>
    </row>
    <row r="78" spans="9:10" ht="12.75">
      <c r="I78" t="s">
        <v>272</v>
      </c>
      <c r="J78">
        <v>3</v>
      </c>
    </row>
    <row r="79" spans="9:10" ht="12.75">
      <c r="I79" t="s">
        <v>309</v>
      </c>
      <c r="J79">
        <v>1</v>
      </c>
    </row>
    <row r="80" spans="9:10" ht="12.75">
      <c r="I80" t="s">
        <v>430</v>
      </c>
      <c r="J80">
        <v>7</v>
      </c>
    </row>
    <row r="81" spans="9:10" ht="12.75">
      <c r="I81" t="s">
        <v>199</v>
      </c>
      <c r="J81">
        <v>3</v>
      </c>
    </row>
    <row r="82" spans="9:10" ht="12.75">
      <c r="I82" t="s">
        <v>290</v>
      </c>
      <c r="J82">
        <v>1</v>
      </c>
    </row>
    <row r="83" spans="9:10" ht="12.75">
      <c r="I83" t="s">
        <v>183</v>
      </c>
      <c r="J83">
        <v>3</v>
      </c>
    </row>
    <row r="84" spans="9:10" ht="12.75">
      <c r="I84" t="s">
        <v>292</v>
      </c>
      <c r="J84">
        <v>3</v>
      </c>
    </row>
    <row r="85" spans="9:10" ht="12.75">
      <c r="I85" t="s">
        <v>156</v>
      </c>
      <c r="J85">
        <v>2</v>
      </c>
    </row>
    <row r="86" spans="9:10" ht="12.75">
      <c r="I86" t="s">
        <v>295</v>
      </c>
      <c r="J86">
        <v>3</v>
      </c>
    </row>
    <row r="87" spans="9:10" ht="12.75">
      <c r="I87" t="s">
        <v>410</v>
      </c>
      <c r="J87">
        <v>4</v>
      </c>
    </row>
    <row r="88" spans="9:10" ht="12.75">
      <c r="I88" t="s">
        <v>111</v>
      </c>
      <c r="J88">
        <v>1</v>
      </c>
    </row>
    <row r="89" spans="9:10" ht="12.75">
      <c r="I89" t="s">
        <v>286</v>
      </c>
      <c r="J89">
        <v>1</v>
      </c>
    </row>
    <row r="90" spans="9:10" ht="12.75">
      <c r="I90" t="s">
        <v>277</v>
      </c>
      <c r="J90">
        <v>3</v>
      </c>
    </row>
    <row r="91" spans="9:10" ht="12.75">
      <c r="I91" t="s">
        <v>134</v>
      </c>
      <c r="J91">
        <v>3</v>
      </c>
    </row>
    <row r="92" spans="9:10" ht="12.75">
      <c r="I92" t="s">
        <v>433</v>
      </c>
      <c r="J92">
        <v>1</v>
      </c>
    </row>
    <row r="93" spans="9:10" ht="12.75">
      <c r="I93" t="s">
        <v>427</v>
      </c>
      <c r="J93">
        <v>1</v>
      </c>
    </row>
    <row r="94" spans="9:10" ht="12.75">
      <c r="I94" t="s">
        <v>439</v>
      </c>
      <c r="J94">
        <v>6</v>
      </c>
    </row>
    <row r="95" spans="9:10" ht="12.75">
      <c r="I95" t="s">
        <v>441</v>
      </c>
      <c r="J95">
        <v>1</v>
      </c>
    </row>
    <row r="96" spans="9:10" ht="12.75">
      <c r="I96" t="s">
        <v>100</v>
      </c>
      <c r="J96">
        <v>2</v>
      </c>
    </row>
    <row r="97" spans="9:10" ht="12.75">
      <c r="I97" t="s">
        <v>428</v>
      </c>
      <c r="J97">
        <v>3</v>
      </c>
    </row>
    <row r="98" spans="9:10" ht="12.75">
      <c r="I98" t="s">
        <v>412</v>
      </c>
      <c r="J98">
        <v>5</v>
      </c>
    </row>
    <row r="99" spans="9:10" ht="12.75">
      <c r="I99" s="11" t="s">
        <v>11</v>
      </c>
      <c r="J99">
        <f>SUM(J75:J98)</f>
        <v>64</v>
      </c>
    </row>
    <row r="101" spans="9:10" ht="12.75">
      <c r="I101" s="44" t="s">
        <v>0</v>
      </c>
      <c r="J101" s="44" t="s">
        <v>39</v>
      </c>
    </row>
    <row r="102" spans="9:10" ht="12.75">
      <c r="I102" t="s">
        <v>268</v>
      </c>
      <c r="J102">
        <v>2</v>
      </c>
    </row>
    <row r="103" spans="9:10" ht="12.75">
      <c r="I103" t="s">
        <v>97</v>
      </c>
      <c r="J103">
        <v>1</v>
      </c>
    </row>
    <row r="104" spans="9:10" ht="12.75">
      <c r="I104" t="s">
        <v>272</v>
      </c>
      <c r="J104">
        <v>1</v>
      </c>
    </row>
    <row r="105" spans="9:10" ht="12.75">
      <c r="I105" t="s">
        <v>442</v>
      </c>
      <c r="J105">
        <v>11</v>
      </c>
    </row>
    <row r="106" spans="9:10" ht="12.75">
      <c r="I106" t="s">
        <v>199</v>
      </c>
      <c r="J106">
        <v>4</v>
      </c>
    </row>
    <row r="107" spans="9:10" ht="12.75">
      <c r="I107" t="s">
        <v>131</v>
      </c>
      <c r="J107">
        <v>4</v>
      </c>
    </row>
    <row r="108" spans="9:10" ht="12.75">
      <c r="I108" t="s">
        <v>290</v>
      </c>
      <c r="J108">
        <v>2</v>
      </c>
    </row>
    <row r="109" spans="9:10" ht="12.75">
      <c r="I109" t="s">
        <v>292</v>
      </c>
      <c r="J109">
        <v>2</v>
      </c>
    </row>
    <row r="110" spans="9:10" ht="12.75">
      <c r="I110" t="s">
        <v>117</v>
      </c>
      <c r="J110">
        <v>1</v>
      </c>
    </row>
    <row r="111" spans="9:10" ht="12.75">
      <c r="I111" t="s">
        <v>295</v>
      </c>
      <c r="J111">
        <v>1</v>
      </c>
    </row>
    <row r="112" spans="9:10" ht="12.75">
      <c r="I112" t="s">
        <v>256</v>
      </c>
      <c r="J112">
        <v>4</v>
      </c>
    </row>
    <row r="113" spans="9:10" ht="12.75">
      <c r="I113" t="s">
        <v>111</v>
      </c>
      <c r="J113">
        <v>2</v>
      </c>
    </row>
    <row r="114" spans="9:10" ht="12.75">
      <c r="I114" t="s">
        <v>286</v>
      </c>
      <c r="J114">
        <v>2</v>
      </c>
    </row>
    <row r="115" spans="9:10" ht="12.75">
      <c r="I115" t="s">
        <v>133</v>
      </c>
      <c r="J115">
        <v>1</v>
      </c>
    </row>
    <row r="116" spans="9:10" ht="12.75">
      <c r="I116" t="s">
        <v>304</v>
      </c>
      <c r="J116">
        <v>3</v>
      </c>
    </row>
    <row r="117" spans="9:10" ht="12.75">
      <c r="I117" t="s">
        <v>134</v>
      </c>
      <c r="J117">
        <v>4</v>
      </c>
    </row>
    <row r="118" spans="9:10" ht="12.75">
      <c r="I118" t="s">
        <v>192</v>
      </c>
      <c r="J118">
        <v>1</v>
      </c>
    </row>
    <row r="119" spans="9:10" ht="12.75">
      <c r="I119" t="s">
        <v>443</v>
      </c>
      <c r="J119">
        <v>11</v>
      </c>
    </row>
    <row r="120" spans="9:10" ht="12.75">
      <c r="I120" t="s">
        <v>125</v>
      </c>
      <c r="J120">
        <v>1</v>
      </c>
    </row>
    <row r="121" spans="9:10" ht="12.75">
      <c r="I121" t="s">
        <v>100</v>
      </c>
      <c r="J121">
        <v>3</v>
      </c>
    </row>
    <row r="122" spans="9:10" ht="12.75">
      <c r="I122" t="s">
        <v>99</v>
      </c>
      <c r="J122">
        <v>2</v>
      </c>
    </row>
    <row r="123" spans="9:10" ht="12.75">
      <c r="I123" t="s">
        <v>279</v>
      </c>
      <c r="J123">
        <v>7</v>
      </c>
    </row>
    <row r="124" spans="9:10" ht="12.75">
      <c r="I124" s="11" t="s">
        <v>11</v>
      </c>
      <c r="J124">
        <f>SUM(J102:J123)</f>
        <v>70</v>
      </c>
    </row>
  </sheetData>
  <sheetProtection/>
  <printOptions/>
  <pageMargins left="0.75" right="0.75" top="1" bottom="1" header="0" footer="0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53" sqref="E53"/>
    </sheetView>
  </sheetViews>
  <sheetFormatPr defaultColWidth="11.421875" defaultRowHeight="12.75"/>
  <cols>
    <col min="1" max="1" width="46.00390625" style="0" customWidth="1"/>
    <col min="2" max="2" width="15.421875" style="0" customWidth="1"/>
    <col min="3" max="3" width="17.57421875" style="0" customWidth="1"/>
    <col min="4" max="4" width="16.57421875" style="0" customWidth="1"/>
    <col min="5" max="5" width="24.140625" style="0" customWidth="1"/>
    <col min="6" max="6" width="15.57421875" style="0" customWidth="1"/>
    <col min="7" max="7" width="24.140625" style="0" customWidth="1"/>
    <col min="8" max="8" width="13.8515625" style="0" customWidth="1"/>
    <col min="9" max="9" width="15.8515625" style="0" customWidth="1"/>
    <col min="10" max="10" width="14.8515625" style="0" customWidth="1"/>
    <col min="11" max="11" width="24.140625" style="0" customWidth="1"/>
    <col min="12" max="12" width="21.7109375" style="0" customWidth="1"/>
    <col min="13" max="13" width="15.421875" style="0" customWidth="1"/>
    <col min="14" max="14" width="13.421875" style="0" customWidth="1"/>
    <col min="15" max="16" width="16.57421875" style="0" bestFit="1" customWidth="1"/>
    <col min="17" max="17" width="15.140625" style="0" bestFit="1" customWidth="1"/>
    <col min="18" max="18" width="12.421875" style="0" bestFit="1" customWidth="1"/>
  </cols>
  <sheetData>
    <row r="1" ht="12.75">
      <c r="A1" s="1" t="s">
        <v>15</v>
      </c>
    </row>
    <row r="4" spans="1:12" ht="12.75">
      <c r="A4" s="45" t="s">
        <v>0</v>
      </c>
      <c r="B4" s="45" t="s">
        <v>16</v>
      </c>
      <c r="C4" s="45" t="s">
        <v>17</v>
      </c>
      <c r="D4" s="45" t="s">
        <v>18</v>
      </c>
      <c r="E4" s="45" t="s">
        <v>5</v>
      </c>
      <c r="F4" s="45" t="s">
        <v>27</v>
      </c>
      <c r="G4" s="11"/>
      <c r="H4" s="11" t="s">
        <v>16</v>
      </c>
      <c r="I4" s="11" t="s">
        <v>17</v>
      </c>
      <c r="J4" s="11" t="s">
        <v>18</v>
      </c>
      <c r="K4" s="11" t="s">
        <v>5</v>
      </c>
      <c r="L4" s="11" t="s">
        <v>22</v>
      </c>
    </row>
    <row r="5" spans="1:12" ht="12.75">
      <c r="A5" t="s">
        <v>66</v>
      </c>
      <c r="B5" s="25">
        <v>159958009.44174</v>
      </c>
      <c r="C5" s="25">
        <v>17460477037.5</v>
      </c>
      <c r="D5" s="25">
        <v>1986332326</v>
      </c>
      <c r="E5" s="25">
        <v>19863323.26</v>
      </c>
      <c r="F5" s="25" t="s">
        <v>72</v>
      </c>
      <c r="G5" s="25"/>
      <c r="H5" s="26">
        <v>2321378</v>
      </c>
      <c r="I5" s="26">
        <v>306345000</v>
      </c>
      <c r="J5" s="26">
        <v>29000000</v>
      </c>
      <c r="K5" s="26">
        <v>290000</v>
      </c>
      <c r="L5" s="25" t="s">
        <v>69</v>
      </c>
    </row>
    <row r="6" spans="1:12" ht="12.75">
      <c r="A6" t="s">
        <v>70</v>
      </c>
      <c r="B6" s="25">
        <v>2400000</v>
      </c>
      <c r="C6" s="25">
        <v>324000000</v>
      </c>
      <c r="D6" s="25">
        <v>30000000</v>
      </c>
      <c r="E6" s="25">
        <v>300000</v>
      </c>
      <c r="F6" s="25" t="s">
        <v>71</v>
      </c>
      <c r="G6" s="25"/>
      <c r="H6" s="26">
        <v>1218312337.370023</v>
      </c>
      <c r="I6" s="26">
        <v>353259175910.6</v>
      </c>
      <c r="J6" s="26">
        <v>15993439827.424911</v>
      </c>
      <c r="K6" s="26">
        <v>160476700.24</v>
      </c>
      <c r="L6" s="25" t="s">
        <v>23</v>
      </c>
    </row>
    <row r="7" spans="1:12" ht="12.75">
      <c r="A7" t="s">
        <v>63</v>
      </c>
      <c r="B7" s="25">
        <v>29469334.3625</v>
      </c>
      <c r="C7" s="25">
        <v>6165588250.45</v>
      </c>
      <c r="D7" s="25">
        <v>344554032.228645</v>
      </c>
      <c r="E7" s="25">
        <v>3449258.67</v>
      </c>
      <c r="F7" s="25" t="s">
        <v>64</v>
      </c>
      <c r="G7" s="25"/>
      <c r="H7" s="26">
        <v>52696049.125801995</v>
      </c>
      <c r="I7" s="26">
        <v>13286751614.61</v>
      </c>
      <c r="J7" s="26">
        <v>606791174.228645</v>
      </c>
      <c r="K7" s="26">
        <v>6071630.09</v>
      </c>
      <c r="L7" s="25" t="s">
        <v>24</v>
      </c>
    </row>
    <row r="8" spans="1:12" ht="12.75">
      <c r="A8" t="s">
        <v>14</v>
      </c>
      <c r="B8" s="25">
        <v>3229970.335</v>
      </c>
      <c r="C8" s="25">
        <v>409086247.2</v>
      </c>
      <c r="D8" s="25">
        <v>37999302.00451999</v>
      </c>
      <c r="E8" s="25">
        <v>379996.51</v>
      </c>
      <c r="F8" s="25" t="s">
        <v>28</v>
      </c>
      <c r="G8" s="25"/>
      <c r="H8" s="26">
        <f>SUM(H5:H7)</f>
        <v>1273329764.495825</v>
      </c>
      <c r="I8" s="26">
        <f>SUM(I5:I7)</f>
        <v>366852272525.20996</v>
      </c>
      <c r="J8" s="26">
        <f>SUM(J5:J7)</f>
        <v>16629231001.653557</v>
      </c>
      <c r="K8" s="26">
        <f>SUM(K5:K7)</f>
        <v>166838330.33</v>
      </c>
      <c r="L8" t="s">
        <v>32</v>
      </c>
    </row>
    <row r="9" spans="1:7" ht="12.75">
      <c r="A9" t="s">
        <v>65</v>
      </c>
      <c r="B9" s="25">
        <v>2824244.952248</v>
      </c>
      <c r="C9" s="25">
        <v>569809046.9300001</v>
      </c>
      <c r="D9" s="25">
        <v>33882007.41536</v>
      </c>
      <c r="E9" s="25">
        <v>338645.37</v>
      </c>
      <c r="F9" s="25" t="s">
        <v>41</v>
      </c>
      <c r="G9" s="12"/>
    </row>
    <row r="10" spans="1:6" ht="12.75">
      <c r="A10" t="s">
        <v>40</v>
      </c>
      <c r="B10" s="25">
        <v>905880.7091999999</v>
      </c>
      <c r="C10" s="25">
        <v>151583177.16</v>
      </c>
      <c r="D10" s="25">
        <v>12922692</v>
      </c>
      <c r="E10" s="25">
        <v>129226.92</v>
      </c>
      <c r="F10" s="25" t="s">
        <v>41</v>
      </c>
    </row>
    <row r="11" spans="1:6" ht="12.75">
      <c r="A11" t="s">
        <v>2</v>
      </c>
      <c r="B11" s="25">
        <v>28003155.171558</v>
      </c>
      <c r="C11" s="25">
        <v>2409247248.5</v>
      </c>
      <c r="D11" s="25">
        <v>317109795.569061</v>
      </c>
      <c r="E11" s="25">
        <v>3171018.12</v>
      </c>
      <c r="F11" s="25" t="s">
        <v>29</v>
      </c>
    </row>
    <row r="12" spans="1:7" ht="12.75">
      <c r="A12" t="s">
        <v>60</v>
      </c>
      <c r="B12" s="25">
        <v>9342598.539664</v>
      </c>
      <c r="C12" s="25">
        <v>885678559.8900001</v>
      </c>
      <c r="D12" s="25">
        <v>114653651</v>
      </c>
      <c r="E12" s="25">
        <v>1146536.51</v>
      </c>
      <c r="F12" s="25" t="s">
        <v>61</v>
      </c>
      <c r="G12" s="1"/>
    </row>
    <row r="13" spans="1:12" ht="12.75">
      <c r="A13" t="s">
        <v>1</v>
      </c>
      <c r="B13" s="25">
        <v>23226714.763302</v>
      </c>
      <c r="C13" s="25">
        <v>7121163364.159999</v>
      </c>
      <c r="D13" s="25">
        <v>262237142</v>
      </c>
      <c r="E13" s="25">
        <v>2622371.42</v>
      </c>
      <c r="F13" s="25" t="s">
        <v>30</v>
      </c>
      <c r="G13" s="13"/>
      <c r="H13" s="1" t="s">
        <v>26</v>
      </c>
      <c r="I13" s="1" t="s">
        <v>19</v>
      </c>
      <c r="J13" s="1" t="s">
        <v>6</v>
      </c>
      <c r="K13" s="1" t="s">
        <v>20</v>
      </c>
      <c r="L13" s="1" t="s">
        <v>21</v>
      </c>
    </row>
    <row r="14" spans="1:12" ht="12.75">
      <c r="A14" t="s">
        <v>33</v>
      </c>
      <c r="B14" s="25">
        <v>425645622.95</v>
      </c>
      <c r="C14" s="25">
        <v>172143571807.7</v>
      </c>
      <c r="D14" s="25">
        <v>5391263682.312989</v>
      </c>
      <c r="E14" s="25">
        <v>54452805.5</v>
      </c>
      <c r="F14" s="25" t="s">
        <v>34</v>
      </c>
      <c r="G14" s="13"/>
      <c r="H14" s="12" t="str">
        <f>+MID(L5,8,20)</f>
        <v>COMERCIAL</v>
      </c>
      <c r="I14" s="12">
        <f>+K5</f>
        <v>290000</v>
      </c>
      <c r="J14" s="14">
        <f>+H5/K5</f>
        <v>8.00475172413793</v>
      </c>
      <c r="K14" s="14">
        <f>+I5/K5</f>
        <v>1056.3620689655172</v>
      </c>
      <c r="L14" s="10">
        <f>+J5/K5</f>
        <v>100</v>
      </c>
    </row>
    <row r="15" spans="1:12" ht="12.75">
      <c r="A15" t="s">
        <v>67</v>
      </c>
      <c r="B15" s="25">
        <v>2321378</v>
      </c>
      <c r="C15" s="25">
        <v>306345000</v>
      </c>
      <c r="D15" s="25">
        <v>29000000</v>
      </c>
      <c r="E15" s="25">
        <v>290000</v>
      </c>
      <c r="F15" s="25" t="s">
        <v>68</v>
      </c>
      <c r="G15" s="13"/>
      <c r="H15" s="12" t="str">
        <f>+MID(L6,8,20)</f>
        <v>FINANCIERO</v>
      </c>
      <c r="I15" s="12">
        <f>+K6</f>
        <v>160476700.24</v>
      </c>
      <c r="J15" s="14">
        <f>+H6/K6</f>
        <v>7.591833179196625</v>
      </c>
      <c r="K15" s="14">
        <f>+I6/K6</f>
        <v>2201.3113142424118</v>
      </c>
      <c r="L15" s="10">
        <f>+J6/K6</f>
        <v>99.66206809777378</v>
      </c>
    </row>
    <row r="16" spans="1:12" ht="12.75">
      <c r="A16" t="s">
        <v>73</v>
      </c>
      <c r="B16" s="25">
        <v>446916477.77409995</v>
      </c>
      <c r="C16" s="25">
        <v>121282461508.44</v>
      </c>
      <c r="D16" s="25">
        <v>6203505127</v>
      </c>
      <c r="E16" s="25">
        <v>62035051.269999996</v>
      </c>
      <c r="F16" s="25" t="s">
        <v>35</v>
      </c>
      <c r="G16" s="13"/>
      <c r="H16" s="12" t="str">
        <f>+MID(L7,8,20)</f>
        <v>SERVICIOS</v>
      </c>
      <c r="I16" s="12">
        <f>+K7</f>
        <v>6071630.09</v>
      </c>
      <c r="J16" s="14">
        <f>+H7/K7</f>
        <v>8.679061198506247</v>
      </c>
      <c r="K16" s="14">
        <f>+I7/K7</f>
        <v>2188.333514667393</v>
      </c>
      <c r="L16" s="10">
        <f>+J7/K7</f>
        <v>99.93875865857385</v>
      </c>
    </row>
    <row r="17" spans="1:12" ht="12.75">
      <c r="A17" t="s">
        <v>4</v>
      </c>
      <c r="B17" s="25">
        <v>26417000.000000004</v>
      </c>
      <c r="C17" s="25">
        <v>8108300000</v>
      </c>
      <c r="D17" s="25">
        <v>320000000</v>
      </c>
      <c r="E17" s="25">
        <v>3200000</v>
      </c>
      <c r="F17" s="25" t="s">
        <v>35</v>
      </c>
      <c r="G17" s="13"/>
      <c r="H17" s="12" t="str">
        <f>+MID(L8,8,20)</f>
        <v>TOTAL</v>
      </c>
      <c r="I17" s="12">
        <f>+K8</f>
        <v>166838330.33</v>
      </c>
      <c r="J17" s="14">
        <f>+H8/K8</f>
        <v>7.632117643333077</v>
      </c>
      <c r="K17" s="14">
        <f>+I8/K8</f>
        <v>2198.8488604482545</v>
      </c>
      <c r="L17" s="10">
        <f>+J8/K8</f>
        <v>99.67272489937747</v>
      </c>
    </row>
    <row r="18" spans="1:16" ht="12.75">
      <c r="A18" t="s">
        <v>3</v>
      </c>
      <c r="B18" s="25">
        <v>1879188.49</v>
      </c>
      <c r="C18" s="25">
        <v>70630584.6</v>
      </c>
      <c r="D18" s="25">
        <v>24872890.42774</v>
      </c>
      <c r="E18" s="25">
        <v>249363.1</v>
      </c>
      <c r="F18" s="25" t="s">
        <v>31</v>
      </c>
      <c r="M18" s="27"/>
      <c r="N18" s="27"/>
      <c r="O18" s="27"/>
      <c r="P18" s="27"/>
    </row>
    <row r="19" spans="1:6" ht="12.75">
      <c r="A19" t="s">
        <v>75</v>
      </c>
      <c r="B19" s="25">
        <v>205049.6</v>
      </c>
      <c r="C19" s="25">
        <v>38655750</v>
      </c>
      <c r="D19" s="25">
        <v>2475062.5</v>
      </c>
      <c r="E19" s="25">
        <v>24875</v>
      </c>
      <c r="F19" s="25" t="s">
        <v>76</v>
      </c>
    </row>
    <row r="20" spans="1:6" ht="12.75">
      <c r="A20" s="11" t="s">
        <v>11</v>
      </c>
      <c r="B20" s="12">
        <f>SUM(B5:B19)</f>
        <v>1162744625.0893118</v>
      </c>
      <c r="C20" s="12">
        <f>SUM(C5:C19)</f>
        <v>337446597582.53</v>
      </c>
      <c r="D20" s="12">
        <f>SUM(D5:D19)</f>
        <v>15110807710.458315</v>
      </c>
      <c r="E20" s="12">
        <f>SUM(E5:E19)</f>
        <v>151652471.65</v>
      </c>
      <c r="F20" s="12"/>
    </row>
    <row r="22" ht="12.75">
      <c r="B22" s="27"/>
    </row>
    <row r="23" spans="1:6" ht="12.75">
      <c r="A23" s="1"/>
      <c r="B23" s="1"/>
      <c r="C23" s="1"/>
      <c r="D23" s="1"/>
      <c r="E23" s="1"/>
      <c r="F23" s="1"/>
    </row>
    <row r="24" spans="2:6" ht="12.75">
      <c r="B24" s="12"/>
      <c r="C24" s="14"/>
      <c r="D24" s="15"/>
      <c r="E24" s="13"/>
      <c r="F24" s="13"/>
    </row>
    <row r="25" spans="2:6" ht="12.75">
      <c r="B25" s="12">
        <f>+E20</f>
        <v>151652471.65</v>
      </c>
      <c r="C25" s="14">
        <f>+B20/E20</f>
        <v>7.667165674508885</v>
      </c>
      <c r="D25" s="16">
        <f>+(C20/E20)/360</f>
        <v>6.1809191090191655</v>
      </c>
      <c r="E25" s="13"/>
      <c r="F25" s="13"/>
    </row>
    <row r="26" spans="2:6" ht="12.75">
      <c r="B26" s="12"/>
      <c r="C26" s="14"/>
      <c r="D26" s="15"/>
      <c r="E26" s="13"/>
      <c r="F26" s="13"/>
    </row>
    <row r="27" spans="2:6" ht="12.75">
      <c r="B27" s="12"/>
      <c r="C27" s="14"/>
      <c r="D27" s="15"/>
      <c r="E27" s="13"/>
      <c r="F27" s="13"/>
    </row>
    <row r="28" spans="2:6" ht="12.75">
      <c r="B28" s="12"/>
      <c r="C28" s="14"/>
      <c r="D28" s="15"/>
      <c r="E28" s="13"/>
      <c r="F28" s="13"/>
    </row>
  </sheetData>
  <sheetProtection/>
  <printOptions/>
  <pageMargins left="0.75" right="0.75" top="1.534251969" bottom="1" header="0" footer="0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228"/>
  <sheetViews>
    <sheetView zoomScale="75" zoomScaleNormal="75" zoomScalePageLayoutView="0" workbookViewId="0" topLeftCell="A1">
      <selection activeCell="E53" sqref="E53"/>
    </sheetView>
  </sheetViews>
  <sheetFormatPr defaultColWidth="11.421875" defaultRowHeight="12.75"/>
  <cols>
    <col min="1" max="1" width="46.421875" style="0" customWidth="1"/>
    <col min="2" max="2" width="16.140625" style="0" customWidth="1"/>
    <col min="3" max="3" width="19.421875" style="0" customWidth="1"/>
    <col min="4" max="4" width="18.00390625" style="0" customWidth="1"/>
    <col min="5" max="5" width="28.7109375" style="0" customWidth="1"/>
    <col min="6" max="6" width="18.28125" style="0" customWidth="1"/>
    <col min="7" max="7" width="24.140625" style="0" customWidth="1"/>
    <col min="8" max="8" width="20.8515625" style="0" customWidth="1"/>
    <col min="9" max="9" width="28.7109375" style="0" customWidth="1"/>
    <col min="10" max="10" width="14.8515625" style="0" customWidth="1"/>
    <col min="11" max="11" width="17.421875" style="0" customWidth="1"/>
    <col min="12" max="12" width="16.00390625" style="0" customWidth="1"/>
    <col min="13" max="13" width="15.421875" style="0" customWidth="1"/>
    <col min="14" max="14" width="13.421875" style="0" customWidth="1"/>
    <col min="15" max="15" width="20.28125" style="0" bestFit="1" customWidth="1"/>
    <col min="16" max="16" width="43.57421875" style="0" bestFit="1" customWidth="1"/>
    <col min="17" max="17" width="19.7109375" style="0" bestFit="1" customWidth="1"/>
    <col min="18" max="19" width="18.421875" style="0" bestFit="1" customWidth="1"/>
    <col min="20" max="21" width="18.8515625" style="0" bestFit="1" customWidth="1"/>
    <col min="22" max="22" width="8.28125" style="0" bestFit="1" customWidth="1"/>
    <col min="23" max="23" width="19.7109375" style="0" bestFit="1" customWidth="1"/>
    <col min="24" max="24" width="6.00390625" style="0" bestFit="1" customWidth="1"/>
    <col min="25" max="25" width="15.57421875" style="0" bestFit="1" customWidth="1"/>
    <col min="27" max="27" width="20.8515625" style="0" bestFit="1" customWidth="1"/>
    <col min="28" max="28" width="8.28125" style="0" bestFit="1" customWidth="1"/>
    <col min="29" max="29" width="12.28125" style="0" bestFit="1" customWidth="1"/>
    <col min="30" max="30" width="10.8515625" style="0" bestFit="1" customWidth="1"/>
    <col min="31" max="31" width="18.8515625" style="0" bestFit="1" customWidth="1"/>
    <col min="32" max="32" width="20.00390625" style="0" bestFit="1" customWidth="1"/>
    <col min="33" max="33" width="18.421875" style="0" bestFit="1" customWidth="1"/>
    <col min="34" max="34" width="8.28125" style="0" bestFit="1" customWidth="1"/>
    <col min="35" max="35" width="19.7109375" style="0" bestFit="1" customWidth="1"/>
    <col min="36" max="37" width="16.00390625" style="0" bestFit="1" customWidth="1"/>
    <col min="47" max="47" width="42.421875" style="0" bestFit="1" customWidth="1"/>
    <col min="48" max="48" width="15.140625" style="0" bestFit="1" customWidth="1"/>
    <col min="49" max="49" width="17.57421875" style="0" bestFit="1" customWidth="1"/>
    <col min="50" max="50" width="16.57421875" style="0" bestFit="1" customWidth="1"/>
    <col min="51" max="51" width="25.8515625" style="0" bestFit="1" customWidth="1"/>
    <col min="52" max="52" width="17.28125" style="0" bestFit="1" customWidth="1"/>
  </cols>
  <sheetData>
    <row r="1" spans="1:5" ht="12.75">
      <c r="A1" s="184" t="s">
        <v>270</v>
      </c>
      <c r="E1" t="s">
        <v>92</v>
      </c>
    </row>
    <row r="3" spans="47:52" ht="12.75">
      <c r="AU3" s="185"/>
      <c r="AV3" s="185"/>
      <c r="AW3" s="185"/>
      <c r="AX3" s="185"/>
      <c r="AY3" s="185"/>
      <c r="AZ3" s="185"/>
    </row>
    <row r="4" spans="1:51" ht="12.75">
      <c r="A4" s="186" t="s">
        <v>0</v>
      </c>
      <c r="B4" s="186" t="s">
        <v>16</v>
      </c>
      <c r="C4" s="186" t="s">
        <v>17</v>
      </c>
      <c r="D4" s="186" t="s">
        <v>18</v>
      </c>
      <c r="E4" s="186" t="s">
        <v>5</v>
      </c>
      <c r="F4" s="186" t="s">
        <v>27</v>
      </c>
      <c r="G4" s="187"/>
      <c r="H4" s="188" t="s">
        <v>22</v>
      </c>
      <c r="I4" s="188" t="s">
        <v>5</v>
      </c>
      <c r="J4" s="188" t="s">
        <v>93</v>
      </c>
      <c r="K4" s="188" t="s">
        <v>94</v>
      </c>
      <c r="L4" s="188" t="s">
        <v>95</v>
      </c>
      <c r="O4" s="189" t="s">
        <v>184</v>
      </c>
      <c r="P4" s="190" t="s">
        <v>0</v>
      </c>
      <c r="Q4" s="190" t="s">
        <v>185</v>
      </c>
      <c r="R4" s="191" t="s">
        <v>186</v>
      </c>
      <c r="S4" s="190" t="s">
        <v>187</v>
      </c>
      <c r="T4" s="190" t="s">
        <v>190</v>
      </c>
      <c r="U4" s="190" t="s">
        <v>190</v>
      </c>
      <c r="V4" s="192" t="s">
        <v>93</v>
      </c>
      <c r="W4" s="192" t="s">
        <v>195</v>
      </c>
      <c r="X4" s="193"/>
      <c r="AA4" s="188" t="s">
        <v>22</v>
      </c>
      <c r="AB4" s="188" t="s">
        <v>93</v>
      </c>
      <c r="AC4" s="188" t="s">
        <v>94</v>
      </c>
      <c r="AD4" s="188" t="s">
        <v>95</v>
      </c>
      <c r="AE4" s="188" t="s">
        <v>190</v>
      </c>
      <c r="AF4" s="188" t="s">
        <v>188</v>
      </c>
      <c r="AG4" s="194" t="s">
        <v>187</v>
      </c>
      <c r="AH4" s="192" t="s">
        <v>93</v>
      </c>
      <c r="AI4" s="192" t="s">
        <v>195</v>
      </c>
      <c r="AT4" s="195"/>
      <c r="AU4" s="195"/>
      <c r="AV4" s="195"/>
      <c r="AW4" s="195"/>
      <c r="AX4" s="195"/>
      <c r="AY4" s="195"/>
    </row>
    <row r="5" spans="1:51" ht="12.75">
      <c r="A5" t="s">
        <v>415</v>
      </c>
      <c r="B5" s="196">
        <v>932638</v>
      </c>
      <c r="C5" s="196">
        <v>90440000</v>
      </c>
      <c r="D5" s="196">
        <v>14000000</v>
      </c>
      <c r="E5" s="197">
        <v>140000</v>
      </c>
      <c r="F5" s="196" t="s">
        <v>416</v>
      </c>
      <c r="G5" s="196"/>
      <c r="H5" t="s">
        <v>69</v>
      </c>
      <c r="I5" s="198">
        <v>227480798.97000012</v>
      </c>
      <c r="J5" s="198">
        <v>1744960889.6243343</v>
      </c>
      <c r="K5" s="198">
        <v>320411860766.4001</v>
      </c>
      <c r="L5" s="198">
        <v>22835484515.45697</v>
      </c>
      <c r="O5" s="199">
        <v>40968</v>
      </c>
      <c r="P5" s="200" t="s">
        <v>130</v>
      </c>
      <c r="Q5" s="200">
        <v>100.0764</v>
      </c>
      <c r="R5" s="201">
        <v>0</v>
      </c>
      <c r="S5" s="200">
        <v>6.53</v>
      </c>
      <c r="T5" s="200">
        <v>362776.95</v>
      </c>
      <c r="U5" s="202">
        <v>362776.95</v>
      </c>
      <c r="V5" s="203">
        <f aca="true" t="shared" si="0" ref="V5:V44">+((1+S5/100)^(90/360)-1)*(400)</f>
        <v>6.375926898814299</v>
      </c>
      <c r="W5" s="204">
        <f aca="true" t="shared" si="1" ref="W5:W44">+V5*T5</f>
        <v>2313039.31377481</v>
      </c>
      <c r="X5" s="204">
        <f>+SUM(W5)/SUM(T5)</f>
        <v>6.375926898814299</v>
      </c>
      <c r="Y5" s="204">
        <f>+SUM(W5)</f>
        <v>2313039.31377481</v>
      </c>
      <c r="AA5" t="s">
        <v>69</v>
      </c>
      <c r="AB5" s="205">
        <v>8.5</v>
      </c>
      <c r="AC5" s="205">
        <v>2880</v>
      </c>
      <c r="AD5" s="205">
        <v>100</v>
      </c>
      <c r="AE5" s="205">
        <v>1000000</v>
      </c>
      <c r="AF5" s="205">
        <v>1000000</v>
      </c>
      <c r="AG5" s="206">
        <v>8.7748</v>
      </c>
      <c r="AH5" s="203">
        <f aca="true" t="shared" si="2" ref="AH5:AH44">+((1+AG5/100)^(90/360)-1)*(400)</f>
        <v>8.500003593868666</v>
      </c>
      <c r="AI5" s="204">
        <f aca="true" t="shared" si="3" ref="AI5:AI44">+AH5*AE5</f>
        <v>8500003.593868665</v>
      </c>
      <c r="AT5" s="185"/>
      <c r="AU5" s="207"/>
      <c r="AV5" s="207"/>
      <c r="AW5" s="207"/>
      <c r="AX5" s="207"/>
      <c r="AY5" s="207"/>
    </row>
    <row r="6" spans="1:51" ht="12.75">
      <c r="A6" t="s">
        <v>346</v>
      </c>
      <c r="B6" s="196">
        <v>223299.03416399998</v>
      </c>
      <c r="C6" s="196">
        <v>18005639.849999998</v>
      </c>
      <c r="D6" s="196">
        <v>3650048.7478469997</v>
      </c>
      <c r="E6" s="197">
        <v>36375.03</v>
      </c>
      <c r="F6" s="196" t="s">
        <v>347</v>
      </c>
      <c r="G6" s="196"/>
      <c r="H6" t="s">
        <v>23</v>
      </c>
      <c r="I6" s="198">
        <v>199730488.1800001</v>
      </c>
      <c r="J6" s="198">
        <v>1427796401.808942</v>
      </c>
      <c r="K6" s="198">
        <v>435742587909.26</v>
      </c>
      <c r="L6" s="198">
        <v>33123043290.001278</v>
      </c>
      <c r="O6" s="199">
        <v>40975</v>
      </c>
      <c r="P6" s="200" t="s">
        <v>154</v>
      </c>
      <c r="Q6" s="200">
        <v>100</v>
      </c>
      <c r="R6" s="201">
        <v>0</v>
      </c>
      <c r="S6" s="200">
        <v>6.6638</v>
      </c>
      <c r="T6" s="200">
        <v>250000</v>
      </c>
      <c r="U6" s="202">
        <v>250000</v>
      </c>
      <c r="V6" s="203">
        <f t="shared" si="0"/>
        <v>6.503467282644504</v>
      </c>
      <c r="W6" s="204">
        <f t="shared" si="1"/>
        <v>1625866.820661126</v>
      </c>
      <c r="X6" s="193"/>
      <c r="AA6" t="s">
        <v>69</v>
      </c>
      <c r="AB6" s="205">
        <v>7.5</v>
      </c>
      <c r="AC6" s="205">
        <v>1800</v>
      </c>
      <c r="AD6" s="205">
        <v>100</v>
      </c>
      <c r="AE6" s="205">
        <v>4000000</v>
      </c>
      <c r="AF6" s="205">
        <v>4000000</v>
      </c>
      <c r="AG6" s="206">
        <v>7.7136</v>
      </c>
      <c r="AH6" s="203">
        <f t="shared" si="2"/>
        <v>7.500012694114311</v>
      </c>
      <c r="AI6" s="204">
        <f t="shared" si="3"/>
        <v>30000050.776457243</v>
      </c>
      <c r="AU6" s="196"/>
      <c r="AV6" s="196"/>
      <c r="AW6" s="196"/>
      <c r="AX6" s="197"/>
      <c r="AY6" s="196"/>
    </row>
    <row r="7" spans="1:51" ht="12.75">
      <c r="A7" t="s">
        <v>130</v>
      </c>
      <c r="B7" s="196">
        <v>10430887.702438</v>
      </c>
      <c r="C7" s="196">
        <v>628079881.7</v>
      </c>
      <c r="D7" s="196">
        <v>175263588.9255377</v>
      </c>
      <c r="E7" s="197">
        <v>1747165.28</v>
      </c>
      <c r="F7" s="196" t="s">
        <v>348</v>
      </c>
      <c r="G7" s="196"/>
      <c r="H7" t="s">
        <v>136</v>
      </c>
      <c r="I7" s="198">
        <v>13585986.889999999</v>
      </c>
      <c r="J7" s="198">
        <v>90501851.930833</v>
      </c>
      <c r="K7" s="198">
        <v>17565008086.379997</v>
      </c>
      <c r="L7" s="198">
        <v>1358559505.7233307</v>
      </c>
      <c r="O7" s="199">
        <v>40975</v>
      </c>
      <c r="P7" s="200" t="s">
        <v>154</v>
      </c>
      <c r="Q7" s="200">
        <v>100</v>
      </c>
      <c r="R7" s="201">
        <v>6.5</v>
      </c>
      <c r="S7" s="200">
        <v>6.6602</v>
      </c>
      <c r="T7" s="200">
        <v>400000</v>
      </c>
      <c r="U7" s="202">
        <v>400000</v>
      </c>
      <c r="V7" s="203">
        <f t="shared" si="0"/>
        <v>6.500037274046466</v>
      </c>
      <c r="W7" s="204">
        <f t="shared" si="1"/>
        <v>2600014.9096185863</v>
      </c>
      <c r="X7" s="193"/>
      <c r="AA7" t="s">
        <v>69</v>
      </c>
      <c r="AB7" s="205">
        <v>7.75</v>
      </c>
      <c r="AC7" s="205">
        <v>1310</v>
      </c>
      <c r="AD7" s="205">
        <v>99.9954</v>
      </c>
      <c r="AE7" s="205">
        <v>199990.8</v>
      </c>
      <c r="AF7" s="205">
        <v>200000</v>
      </c>
      <c r="AG7" s="206">
        <v>7.9782</v>
      </c>
      <c r="AH7" s="203">
        <f t="shared" si="2"/>
        <v>7.750039891905658</v>
      </c>
      <c r="AI7" s="204">
        <f t="shared" si="3"/>
        <v>1549936.678014126</v>
      </c>
      <c r="AU7" s="196"/>
      <c r="AV7" s="196"/>
      <c r="AW7" s="196"/>
      <c r="AX7" s="197"/>
      <c r="AY7" s="196"/>
    </row>
    <row r="8" spans="1:51" ht="12.75">
      <c r="A8" t="s">
        <v>154</v>
      </c>
      <c r="B8" s="196">
        <v>51449110.516176</v>
      </c>
      <c r="C8" s="196">
        <v>5310830654.59</v>
      </c>
      <c r="D8" s="196">
        <v>772245376.073984</v>
      </c>
      <c r="E8" s="197">
        <v>7722476.88</v>
      </c>
      <c r="F8" s="196" t="s">
        <v>308</v>
      </c>
      <c r="G8" s="196"/>
      <c r="H8" t="s">
        <v>24</v>
      </c>
      <c r="I8" s="198">
        <v>55203885.91</v>
      </c>
      <c r="J8" s="198">
        <v>430779050.60704106</v>
      </c>
      <c r="K8" s="198">
        <v>86389784254.95995</v>
      </c>
      <c r="L8" s="198">
        <v>5524323383.307176</v>
      </c>
      <c r="O8" s="199">
        <v>40975</v>
      </c>
      <c r="P8" s="200" t="s">
        <v>154</v>
      </c>
      <c r="Q8" s="200">
        <v>100</v>
      </c>
      <c r="R8" s="201">
        <v>0</v>
      </c>
      <c r="S8" s="200">
        <v>6.6638</v>
      </c>
      <c r="T8" s="200">
        <v>850000</v>
      </c>
      <c r="U8" s="202">
        <v>850000</v>
      </c>
      <c r="V8" s="203">
        <f t="shared" si="0"/>
        <v>6.503467282644504</v>
      </c>
      <c r="W8" s="204">
        <f t="shared" si="1"/>
        <v>5527947.190247828</v>
      </c>
      <c r="X8" s="204">
        <f>+SUM(W6:W8)/SUM(T6:T8)</f>
        <v>6.502552613685027</v>
      </c>
      <c r="Y8" s="204">
        <f>+SUM(W6:W8)</f>
        <v>9753828.92052754</v>
      </c>
      <c r="AA8" t="s">
        <v>69</v>
      </c>
      <c r="AB8" s="205">
        <v>8.2</v>
      </c>
      <c r="AC8" s="205">
        <v>1179</v>
      </c>
      <c r="AD8" s="205">
        <v>101.3055</v>
      </c>
      <c r="AE8" s="205">
        <v>506527.5</v>
      </c>
      <c r="AF8" s="205">
        <v>500000</v>
      </c>
      <c r="AG8" s="206">
        <v>8.4556</v>
      </c>
      <c r="AH8" s="203">
        <f t="shared" si="2"/>
        <v>8.19998709879366</v>
      </c>
      <c r="AI8" s="204">
        <f t="shared" si="3"/>
        <v>4153518.965184205</v>
      </c>
      <c r="AU8" s="196"/>
      <c r="AV8" s="196"/>
      <c r="AW8" s="196"/>
      <c r="AX8" s="197"/>
      <c r="AY8" s="196"/>
    </row>
    <row r="9" spans="1:51" ht="12.75">
      <c r="A9" t="s">
        <v>417</v>
      </c>
      <c r="B9" s="196">
        <v>53299291</v>
      </c>
      <c r="C9" s="196">
        <v>5522100000</v>
      </c>
      <c r="D9" s="196">
        <v>800000000</v>
      </c>
      <c r="E9" s="197">
        <v>8000000</v>
      </c>
      <c r="F9" s="196" t="s">
        <v>418</v>
      </c>
      <c r="G9" s="208"/>
      <c r="H9" t="s">
        <v>11</v>
      </c>
      <c r="I9" s="198">
        <f>SUM(I5:I8)</f>
        <v>496001159.95000017</v>
      </c>
      <c r="J9" s="198">
        <f>SUM(J5:J8)</f>
        <v>3694038193.97115</v>
      </c>
      <c r="K9" s="198">
        <f>SUM(K5:K8)</f>
        <v>860109241017.0001</v>
      </c>
      <c r="L9" s="198">
        <f>SUM(L5:L8)</f>
        <v>62841410694.488754</v>
      </c>
      <c r="O9" s="199">
        <v>40921</v>
      </c>
      <c r="P9" s="200" t="s">
        <v>118</v>
      </c>
      <c r="Q9" s="200">
        <v>100</v>
      </c>
      <c r="R9" s="201">
        <v>8</v>
      </c>
      <c r="S9" s="200">
        <v>8.3</v>
      </c>
      <c r="T9" s="200">
        <v>30000</v>
      </c>
      <c r="U9" s="202">
        <v>30000</v>
      </c>
      <c r="V9" s="203">
        <f t="shared" si="0"/>
        <v>8.053498308212603</v>
      </c>
      <c r="W9" s="204">
        <f t="shared" si="1"/>
        <v>241604.9492463781</v>
      </c>
      <c r="X9" s="209"/>
      <c r="AA9" t="s">
        <v>69</v>
      </c>
      <c r="AB9" s="205">
        <v>7.5</v>
      </c>
      <c r="AC9" s="205">
        <v>948</v>
      </c>
      <c r="AD9" s="205">
        <v>100.9907</v>
      </c>
      <c r="AE9" s="205">
        <v>60594.42</v>
      </c>
      <c r="AF9" s="205">
        <v>60000</v>
      </c>
      <c r="AG9" s="206">
        <v>7.7136</v>
      </c>
      <c r="AH9" s="203">
        <f t="shared" si="2"/>
        <v>7.500012694114311</v>
      </c>
      <c r="AI9" s="204">
        <f t="shared" si="3"/>
        <v>454458.91919249407</v>
      </c>
      <c r="AU9" s="196"/>
      <c r="AV9" s="196"/>
      <c r="AW9" s="196"/>
      <c r="AX9" s="197"/>
      <c r="AY9" s="196"/>
    </row>
    <row r="10" spans="1:51" ht="12.75">
      <c r="A10" t="s">
        <v>159</v>
      </c>
      <c r="B10" s="196">
        <v>4704951.635109</v>
      </c>
      <c r="C10" s="196">
        <v>2186664649.7400002</v>
      </c>
      <c r="D10" s="196">
        <v>50630796.066672</v>
      </c>
      <c r="E10" s="197">
        <v>503144.19</v>
      </c>
      <c r="F10" s="196" t="s">
        <v>419</v>
      </c>
      <c r="O10" s="199">
        <v>40984</v>
      </c>
      <c r="P10" s="200" t="s">
        <v>118</v>
      </c>
      <c r="Q10" s="200">
        <v>100</v>
      </c>
      <c r="R10" s="201">
        <v>0</v>
      </c>
      <c r="S10" s="200">
        <v>8.3</v>
      </c>
      <c r="T10" s="200">
        <v>15111.11</v>
      </c>
      <c r="U10" s="202">
        <v>15111.11</v>
      </c>
      <c r="V10" s="203">
        <f t="shared" si="0"/>
        <v>8.053498308212603</v>
      </c>
      <c r="W10" s="204">
        <f t="shared" si="1"/>
        <v>121697.29882021455</v>
      </c>
      <c r="X10" s="209"/>
      <c r="AA10" t="s">
        <v>69</v>
      </c>
      <c r="AB10" s="205">
        <v>6.146729</v>
      </c>
      <c r="AC10" s="205">
        <v>1507</v>
      </c>
      <c r="AD10" s="205">
        <v>102.9596</v>
      </c>
      <c r="AE10" s="205">
        <v>20591.92</v>
      </c>
      <c r="AF10" s="205">
        <v>20000</v>
      </c>
      <c r="AG10" s="206">
        <v>6.2899</v>
      </c>
      <c r="AH10" s="203">
        <f t="shared" si="2"/>
        <v>6.146758040251754</v>
      </c>
      <c r="AI10" s="204">
        <f t="shared" si="3"/>
        <v>126573.54982422089</v>
      </c>
      <c r="AU10" s="196"/>
      <c r="AV10" s="196"/>
      <c r="AW10" s="196"/>
      <c r="AX10" s="197"/>
      <c r="AY10" s="196"/>
    </row>
    <row r="11" spans="1:51" ht="12.75">
      <c r="A11" t="s">
        <v>118</v>
      </c>
      <c r="B11" s="196">
        <v>6584955.702529</v>
      </c>
      <c r="C11" s="196">
        <v>694203343.41</v>
      </c>
      <c r="D11" s="196">
        <v>78747952.47726</v>
      </c>
      <c r="E11" s="197">
        <v>788733.76</v>
      </c>
      <c r="F11" s="196" t="s">
        <v>349</v>
      </c>
      <c r="O11" s="199">
        <v>40966</v>
      </c>
      <c r="P11" s="200" t="s">
        <v>118</v>
      </c>
      <c r="Q11" s="200">
        <v>100</v>
      </c>
      <c r="R11" s="201">
        <v>0</v>
      </c>
      <c r="S11" s="200">
        <v>8.0308</v>
      </c>
      <c r="T11" s="200">
        <v>40000</v>
      </c>
      <c r="U11" s="202">
        <v>40000</v>
      </c>
      <c r="V11" s="203">
        <f t="shared" si="0"/>
        <v>7.799688189536713</v>
      </c>
      <c r="W11" s="204">
        <f t="shared" si="1"/>
        <v>311987.5275814685</v>
      </c>
      <c r="X11" s="79"/>
      <c r="AA11" t="s">
        <v>69</v>
      </c>
      <c r="AB11" s="205">
        <v>6.146729</v>
      </c>
      <c r="AC11" s="205">
        <v>1507</v>
      </c>
      <c r="AD11" s="205">
        <v>102.9596</v>
      </c>
      <c r="AE11" s="205">
        <v>20591.92</v>
      </c>
      <c r="AF11" s="205">
        <v>20000</v>
      </c>
      <c r="AG11" s="206">
        <v>6.2899</v>
      </c>
      <c r="AH11" s="203">
        <f t="shared" si="2"/>
        <v>6.146758040251754</v>
      </c>
      <c r="AI11" s="204">
        <f t="shared" si="3"/>
        <v>126573.54982422089</v>
      </c>
      <c r="AU11" s="196"/>
      <c r="AV11" s="196"/>
      <c r="AW11" s="196"/>
      <c r="AX11" s="197"/>
      <c r="AY11" s="196"/>
    </row>
    <row r="12" spans="1:51" ht="12.75">
      <c r="A12" t="s">
        <v>115</v>
      </c>
      <c r="B12" s="196">
        <v>8503822.913168</v>
      </c>
      <c r="C12" s="196">
        <v>1335815560.9499998</v>
      </c>
      <c r="D12" s="196">
        <v>108691480.330199</v>
      </c>
      <c r="E12" s="197">
        <v>1087512.39</v>
      </c>
      <c r="F12" s="196" t="s">
        <v>116</v>
      </c>
      <c r="G12" s="184"/>
      <c r="H12" t="str">
        <f>+MID(H5,8,20)</f>
        <v>COMERCIAL</v>
      </c>
      <c r="I12" s="198">
        <f>+I5</f>
        <v>227480798.97000012</v>
      </c>
      <c r="J12" s="210">
        <f>+J5/I5</f>
        <v>7.6708051735586595</v>
      </c>
      <c r="K12" s="211">
        <f>+K5/I5</f>
        <v>1408.5226630870748</v>
      </c>
      <c r="L12" s="210">
        <f>+L5/I5</f>
        <v>100.38422855402617</v>
      </c>
      <c r="O12" s="199">
        <v>40948</v>
      </c>
      <c r="P12" s="200" t="s">
        <v>118</v>
      </c>
      <c r="Q12" s="200">
        <v>100</v>
      </c>
      <c r="R12" s="201">
        <v>0</v>
      </c>
      <c r="S12" s="200">
        <v>8.2996</v>
      </c>
      <c r="T12" s="200">
        <v>200000</v>
      </c>
      <c r="U12" s="202">
        <v>200000</v>
      </c>
      <c r="V12" s="203">
        <f t="shared" si="0"/>
        <v>8.053121526990559</v>
      </c>
      <c r="W12" s="204">
        <f t="shared" si="1"/>
        <v>1610624.3053981117</v>
      </c>
      <c r="AA12" t="s">
        <v>69</v>
      </c>
      <c r="AB12" s="205">
        <v>7.9971</v>
      </c>
      <c r="AC12" s="205">
        <v>1398</v>
      </c>
      <c r="AD12" s="205">
        <v>100</v>
      </c>
      <c r="AE12" s="205">
        <v>10000</v>
      </c>
      <c r="AF12" s="205">
        <v>10000</v>
      </c>
      <c r="AG12" s="206">
        <v>8.2401</v>
      </c>
      <c r="AH12" s="203">
        <f t="shared" si="2"/>
        <v>7.997063691907513</v>
      </c>
      <c r="AI12" s="204">
        <f t="shared" si="3"/>
        <v>79970.63691907513</v>
      </c>
      <c r="AU12" s="196"/>
      <c r="AV12" s="196"/>
      <c r="AW12" s="196"/>
      <c r="AX12" s="197"/>
      <c r="AY12" s="196"/>
    </row>
    <row r="13" spans="1:51" ht="12.75">
      <c r="A13" t="s">
        <v>268</v>
      </c>
      <c r="B13" s="196">
        <v>34263224.343808</v>
      </c>
      <c r="C13" s="196">
        <v>6641197352.24</v>
      </c>
      <c r="D13" s="196">
        <v>404999656.000368</v>
      </c>
      <c r="E13" s="197">
        <v>4049998.16</v>
      </c>
      <c r="F13" s="196" t="s">
        <v>269</v>
      </c>
      <c r="G13" s="212"/>
      <c r="H13" t="str">
        <f>+MID(H6,8,20)</f>
        <v>FINANCIERO</v>
      </c>
      <c r="I13" s="198">
        <f>+I6</f>
        <v>199730488.1800001</v>
      </c>
      <c r="J13" s="210">
        <f>+J6/I6</f>
        <v>7.148615190497059</v>
      </c>
      <c r="K13" s="211">
        <f>+K6/I6</f>
        <v>2181.6528456915516</v>
      </c>
      <c r="L13" s="210">
        <f>+L6/I6</f>
        <v>165.83869389109137</v>
      </c>
      <c r="O13" s="199">
        <v>41011</v>
      </c>
      <c r="P13" s="200" t="s">
        <v>118</v>
      </c>
      <c r="Q13" s="200">
        <v>100</v>
      </c>
      <c r="R13" s="201">
        <v>0</v>
      </c>
      <c r="S13" s="200">
        <v>8.0309</v>
      </c>
      <c r="T13" s="200">
        <v>20307.69</v>
      </c>
      <c r="U13" s="202">
        <v>20307.69</v>
      </c>
      <c r="V13" s="203">
        <f t="shared" si="0"/>
        <v>7.799782560666646</v>
      </c>
      <c r="W13" s="204">
        <f t="shared" si="1"/>
        <v>158395.56630942444</v>
      </c>
      <c r="X13" s="204">
        <f>+SUM(W9:W13)/SUM(T9:T13)</f>
        <v>8.003140760672222</v>
      </c>
      <c r="Y13" s="204">
        <f>+SUM(W9:W13)</f>
        <v>2444309.6473555975</v>
      </c>
      <c r="AA13" t="s">
        <v>69</v>
      </c>
      <c r="AB13" s="205">
        <v>8.5</v>
      </c>
      <c r="AC13" s="205">
        <v>1800</v>
      </c>
      <c r="AD13" s="205">
        <v>100</v>
      </c>
      <c r="AE13" s="205">
        <v>1500000</v>
      </c>
      <c r="AF13" s="205">
        <v>1500000</v>
      </c>
      <c r="AG13" s="206">
        <v>8.7748</v>
      </c>
      <c r="AH13" s="203">
        <f t="shared" si="2"/>
        <v>8.500003593868666</v>
      </c>
      <c r="AI13" s="204">
        <f t="shared" si="3"/>
        <v>12750005.390802998</v>
      </c>
      <c r="AU13" s="196"/>
      <c r="AV13" s="196"/>
      <c r="AW13" s="196"/>
      <c r="AX13" s="197"/>
      <c r="AY13" s="196"/>
    </row>
    <row r="14" spans="1:51" ht="12.75">
      <c r="A14" t="s">
        <v>288</v>
      </c>
      <c r="B14" s="196">
        <v>100743437.53799999</v>
      </c>
      <c r="C14" s="196">
        <v>23543658325.89</v>
      </c>
      <c r="D14" s="196">
        <v>1311537849.817316</v>
      </c>
      <c r="E14" s="197">
        <v>13107631.39</v>
      </c>
      <c r="F14" s="196" t="s">
        <v>289</v>
      </c>
      <c r="G14" s="212"/>
      <c r="H14" t="str">
        <f>+MID(H8,8,20)</f>
        <v>SERVICIOS</v>
      </c>
      <c r="I14" s="198">
        <f>+I8</f>
        <v>55203885.91</v>
      </c>
      <c r="J14" s="210">
        <f>+J8/I8</f>
        <v>7.80341897143525</v>
      </c>
      <c r="K14" s="211">
        <f>+K8/I8</f>
        <v>1564.92215775902</v>
      </c>
      <c r="L14" s="210">
        <f>+L8/I8</f>
        <v>100.07127745161982</v>
      </c>
      <c r="O14" s="199">
        <v>40913</v>
      </c>
      <c r="P14" s="200" t="s">
        <v>115</v>
      </c>
      <c r="Q14" s="200">
        <v>99.9954</v>
      </c>
      <c r="R14" s="201">
        <v>7.75</v>
      </c>
      <c r="S14" s="200">
        <v>7.9782</v>
      </c>
      <c r="T14" s="200">
        <v>199990.8</v>
      </c>
      <c r="U14" s="202">
        <v>199990.8</v>
      </c>
      <c r="V14" s="203">
        <f t="shared" si="0"/>
        <v>7.750039891905658</v>
      </c>
      <c r="W14" s="204">
        <f t="shared" si="1"/>
        <v>1549936.678014126</v>
      </c>
      <c r="X14" s="214"/>
      <c r="AA14" t="s">
        <v>69</v>
      </c>
      <c r="AB14" s="205">
        <v>9.25</v>
      </c>
      <c r="AC14" s="205">
        <v>2880</v>
      </c>
      <c r="AD14" s="205">
        <v>96.7678</v>
      </c>
      <c r="AE14" s="205">
        <v>967678</v>
      </c>
      <c r="AF14" s="205">
        <v>1000000</v>
      </c>
      <c r="AG14" s="206">
        <v>9.5758</v>
      </c>
      <c r="AH14" s="203">
        <f t="shared" si="2"/>
        <v>9.249967736011477</v>
      </c>
      <c r="AI14" s="204">
        <f t="shared" si="3"/>
        <v>8950990.278848113</v>
      </c>
      <c r="AU14" s="196"/>
      <c r="AV14" s="196"/>
      <c r="AW14" s="196"/>
      <c r="AX14" s="197"/>
      <c r="AY14" s="196"/>
    </row>
    <row r="15" spans="1:51" ht="12.75">
      <c r="A15" t="s">
        <v>155</v>
      </c>
      <c r="B15" s="196">
        <v>10998892.578054</v>
      </c>
      <c r="C15" s="196">
        <v>842971321.98</v>
      </c>
      <c r="D15" s="196">
        <v>163730629.66359243</v>
      </c>
      <c r="E15" s="197">
        <v>1639190.95</v>
      </c>
      <c r="F15" s="196" t="s">
        <v>350</v>
      </c>
      <c r="G15" s="212"/>
      <c r="H15" t="s">
        <v>11</v>
      </c>
      <c r="I15" s="198">
        <f>+I9</f>
        <v>496001159.95000017</v>
      </c>
      <c r="J15" s="210">
        <f>+J9/I9</f>
        <v>7.447640232017866</v>
      </c>
      <c r="K15" s="211">
        <f>+K9/I9</f>
        <v>1734.0871563762153</v>
      </c>
      <c r="L15" s="213">
        <f>+L9/I9</f>
        <v>126.69609623659657</v>
      </c>
      <c r="O15" s="199">
        <v>40926</v>
      </c>
      <c r="P15" s="200" t="s">
        <v>115</v>
      </c>
      <c r="Q15" s="200">
        <v>99.9955</v>
      </c>
      <c r="R15" s="201">
        <v>7.75</v>
      </c>
      <c r="S15" s="200">
        <v>7.9782</v>
      </c>
      <c r="T15" s="200">
        <v>19999.1</v>
      </c>
      <c r="U15" s="202">
        <v>19999.1</v>
      </c>
      <c r="V15" s="203">
        <f t="shared" si="0"/>
        <v>7.750039891905658</v>
      </c>
      <c r="W15" s="204">
        <f t="shared" si="1"/>
        <v>154993.82280221043</v>
      </c>
      <c r="X15" s="79"/>
      <c r="AA15" t="s">
        <v>69</v>
      </c>
      <c r="AB15" s="205">
        <v>9.25</v>
      </c>
      <c r="AC15" s="205">
        <v>2880</v>
      </c>
      <c r="AD15" s="205">
        <v>96.7678</v>
      </c>
      <c r="AE15" s="205">
        <v>774142.4</v>
      </c>
      <c r="AF15" s="205">
        <v>800000</v>
      </c>
      <c r="AG15" s="206">
        <v>9.5758</v>
      </c>
      <c r="AH15" s="203">
        <f t="shared" si="2"/>
        <v>9.249967736011477</v>
      </c>
      <c r="AI15" s="204">
        <f t="shared" si="3"/>
        <v>7160792.223078492</v>
      </c>
      <c r="AU15" s="196"/>
      <c r="AV15" s="196"/>
      <c r="AW15" s="196"/>
      <c r="AX15" s="197"/>
      <c r="AY15" s="196"/>
    </row>
    <row r="16" spans="1:51" ht="12.75">
      <c r="A16" t="s">
        <v>97</v>
      </c>
      <c r="B16" s="196">
        <v>17829711.280809</v>
      </c>
      <c r="C16" s="196">
        <v>2570530530.0300007</v>
      </c>
      <c r="D16" s="196">
        <v>251543335.95929402</v>
      </c>
      <c r="E16" s="197">
        <v>2497919.31</v>
      </c>
      <c r="F16" s="196" t="s">
        <v>271</v>
      </c>
      <c r="G16" s="212"/>
      <c r="O16" s="199">
        <v>40931</v>
      </c>
      <c r="P16" s="200" t="s">
        <v>115</v>
      </c>
      <c r="Q16" s="200">
        <v>99.6323</v>
      </c>
      <c r="R16" s="201">
        <v>8</v>
      </c>
      <c r="S16" s="200">
        <v>8.2432</v>
      </c>
      <c r="T16" s="200">
        <v>98635.98</v>
      </c>
      <c r="U16" s="202">
        <v>98635.98</v>
      </c>
      <c r="V16" s="203">
        <f t="shared" si="0"/>
        <v>7.9999849228418185</v>
      </c>
      <c r="W16" s="204">
        <f t="shared" si="1"/>
        <v>789086.3528497271</v>
      </c>
      <c r="X16" s="214"/>
      <c r="AA16" t="s">
        <v>69</v>
      </c>
      <c r="AB16" s="205">
        <v>9.25</v>
      </c>
      <c r="AC16" s="205">
        <v>2880</v>
      </c>
      <c r="AD16" s="205">
        <v>96.7678</v>
      </c>
      <c r="AE16" s="205">
        <v>677374.6</v>
      </c>
      <c r="AF16" s="205">
        <v>700000</v>
      </c>
      <c r="AG16" s="206">
        <v>9.5758</v>
      </c>
      <c r="AH16" s="203">
        <f t="shared" si="2"/>
        <v>9.249967736011477</v>
      </c>
      <c r="AI16" s="204">
        <f t="shared" si="3"/>
        <v>6265693.19519368</v>
      </c>
      <c r="AU16" s="196"/>
      <c r="AV16" s="196"/>
      <c r="AW16" s="196"/>
      <c r="AX16" s="197"/>
      <c r="AY16" s="196"/>
    </row>
    <row r="17" spans="1:51" ht="12.75">
      <c r="A17" t="s">
        <v>322</v>
      </c>
      <c r="B17" s="196">
        <v>6690500</v>
      </c>
      <c r="C17" s="196">
        <v>1107000000</v>
      </c>
      <c r="D17" s="196">
        <v>100000000</v>
      </c>
      <c r="E17" s="197">
        <v>1000000</v>
      </c>
      <c r="F17" s="196" t="s">
        <v>323</v>
      </c>
      <c r="G17" s="212"/>
      <c r="O17" s="199">
        <v>40932</v>
      </c>
      <c r="P17" s="200" t="s">
        <v>115</v>
      </c>
      <c r="Q17" s="200">
        <v>99.9958</v>
      </c>
      <c r="R17" s="201">
        <v>7.75</v>
      </c>
      <c r="S17" s="200">
        <v>7.9782</v>
      </c>
      <c r="T17" s="200">
        <v>64997.27</v>
      </c>
      <c r="U17" s="202">
        <v>64997.27</v>
      </c>
      <c r="V17" s="203">
        <f t="shared" si="0"/>
        <v>7.750039891905658</v>
      </c>
      <c r="W17" s="204">
        <f t="shared" si="1"/>
        <v>503731.43536496285</v>
      </c>
      <c r="X17" s="79"/>
      <c r="AA17" t="s">
        <v>69</v>
      </c>
      <c r="AB17" s="205">
        <v>8</v>
      </c>
      <c r="AC17" s="205">
        <v>1292</v>
      </c>
      <c r="AD17" s="205">
        <v>99.6323</v>
      </c>
      <c r="AE17" s="205">
        <v>98635.98</v>
      </c>
      <c r="AF17" s="205">
        <v>99000</v>
      </c>
      <c r="AG17" s="206">
        <v>8.2432</v>
      </c>
      <c r="AH17" s="203">
        <f t="shared" si="2"/>
        <v>7.9999849228418185</v>
      </c>
      <c r="AI17" s="204">
        <f t="shared" si="3"/>
        <v>789086.3528497271</v>
      </c>
      <c r="AU17" s="196"/>
      <c r="AV17" s="196"/>
      <c r="AW17" s="196"/>
      <c r="AX17" s="197"/>
      <c r="AY17" s="196"/>
    </row>
    <row r="18" spans="1:51" ht="12.75">
      <c r="A18" t="s">
        <v>317</v>
      </c>
      <c r="B18" s="196">
        <v>195490120.8</v>
      </c>
      <c r="C18" s="196">
        <v>43164460000</v>
      </c>
      <c r="D18" s="196">
        <v>2500000000</v>
      </c>
      <c r="E18" s="197">
        <v>25000000</v>
      </c>
      <c r="F18" s="196" t="s">
        <v>351</v>
      </c>
      <c r="H18" t="s">
        <v>96</v>
      </c>
      <c r="I18" s="215" t="str">
        <f>IF(I15=B198,"SI","NO")</f>
        <v>NO</v>
      </c>
      <c r="J18" s="215" t="str">
        <f>IF(J15=C198,"SI","NO")</f>
        <v>NO</v>
      </c>
      <c r="K18" s="215" t="str">
        <f>IF(K15=D198,"SI","NO")</f>
        <v>NO</v>
      </c>
      <c r="L18" s="215" t="str">
        <f>IF(L15=E198,"SI","NO")</f>
        <v>NO</v>
      </c>
      <c r="M18" s="205"/>
      <c r="N18" s="205"/>
      <c r="O18" s="199">
        <v>40935</v>
      </c>
      <c r="P18" s="200" t="s">
        <v>115</v>
      </c>
      <c r="Q18" s="200">
        <v>99.635</v>
      </c>
      <c r="R18" s="201">
        <v>8</v>
      </c>
      <c r="S18" s="200">
        <v>8.2432</v>
      </c>
      <c r="T18" s="200">
        <v>80704.37</v>
      </c>
      <c r="U18" s="202">
        <v>80704.37</v>
      </c>
      <c r="V18" s="203">
        <f t="shared" si="0"/>
        <v>7.9999849228418185</v>
      </c>
      <c r="W18" s="204">
        <f t="shared" si="1"/>
        <v>645633.7432074476</v>
      </c>
      <c r="X18" s="214"/>
      <c r="AA18" t="s">
        <v>69</v>
      </c>
      <c r="AB18" s="205">
        <v>7.75</v>
      </c>
      <c r="AC18" s="205">
        <v>1291</v>
      </c>
      <c r="AD18" s="205">
        <v>99.9958</v>
      </c>
      <c r="AE18" s="205">
        <v>64997.27</v>
      </c>
      <c r="AF18" s="205">
        <v>65000</v>
      </c>
      <c r="AG18" s="206">
        <v>7.9782</v>
      </c>
      <c r="AH18" s="203">
        <f t="shared" si="2"/>
        <v>7.750039891905658</v>
      </c>
      <c r="AI18" s="204">
        <f t="shared" si="3"/>
        <v>503731.43536496285</v>
      </c>
      <c r="AU18" s="196"/>
      <c r="AV18" s="196"/>
      <c r="AW18" s="196"/>
      <c r="AX18" s="197"/>
      <c r="AY18" s="196"/>
    </row>
    <row r="19" spans="1:51" ht="12.75">
      <c r="A19" t="s">
        <v>272</v>
      </c>
      <c r="B19" s="196">
        <v>102565120.56414402</v>
      </c>
      <c r="C19" s="196">
        <v>12874980393.5</v>
      </c>
      <c r="D19" s="196">
        <v>1206094598.8594728</v>
      </c>
      <c r="E19" s="197">
        <v>12060469.859999998</v>
      </c>
      <c r="F19" s="196" t="s">
        <v>273</v>
      </c>
      <c r="O19" s="199">
        <v>40935</v>
      </c>
      <c r="P19" s="200" t="s">
        <v>115</v>
      </c>
      <c r="Q19" s="200">
        <v>99.996</v>
      </c>
      <c r="R19" s="201">
        <v>7.75</v>
      </c>
      <c r="S19" s="200">
        <v>7.9782</v>
      </c>
      <c r="T19" s="200">
        <v>79996.81</v>
      </c>
      <c r="U19" s="202">
        <v>79996.81</v>
      </c>
      <c r="V19" s="203">
        <f t="shared" si="0"/>
        <v>7.750039891905658</v>
      </c>
      <c r="W19" s="204">
        <f t="shared" si="1"/>
        <v>619978.4687251975</v>
      </c>
      <c r="X19" s="79"/>
      <c r="AA19" t="s">
        <v>69</v>
      </c>
      <c r="AB19" s="205">
        <v>8</v>
      </c>
      <c r="AC19" s="205">
        <v>1384</v>
      </c>
      <c r="AD19" s="205">
        <v>99.9953</v>
      </c>
      <c r="AE19" s="205">
        <v>1499930.11</v>
      </c>
      <c r="AF19" s="205">
        <v>1500000</v>
      </c>
      <c r="AG19" s="206">
        <v>8.2432</v>
      </c>
      <c r="AH19" s="203">
        <f t="shared" si="2"/>
        <v>7.9999849228418185</v>
      </c>
      <c r="AI19" s="204">
        <f t="shared" si="3"/>
        <v>11999418.265316471</v>
      </c>
      <c r="AU19" s="196"/>
      <c r="AV19" s="196"/>
      <c r="AW19" s="196"/>
      <c r="AX19" s="197"/>
      <c r="AY19" s="196"/>
    </row>
    <row r="20" spans="1:51" ht="12.75">
      <c r="A20" t="s">
        <v>226</v>
      </c>
      <c r="B20" s="196">
        <v>101458052.643296</v>
      </c>
      <c r="C20" s="196">
        <v>11990747605.24</v>
      </c>
      <c r="D20" s="196">
        <v>1192433563.423424</v>
      </c>
      <c r="E20" s="197">
        <v>11924667.42</v>
      </c>
      <c r="F20" s="196" t="s">
        <v>227</v>
      </c>
      <c r="O20" s="199">
        <v>40940</v>
      </c>
      <c r="P20" s="200" t="s">
        <v>115</v>
      </c>
      <c r="Q20" s="200">
        <v>99.9964</v>
      </c>
      <c r="R20" s="201">
        <v>7.75</v>
      </c>
      <c r="S20" s="200">
        <v>7.9782</v>
      </c>
      <c r="T20" s="200">
        <v>14999.45</v>
      </c>
      <c r="U20" s="202">
        <v>14999.45</v>
      </c>
      <c r="V20" s="203">
        <f t="shared" si="0"/>
        <v>7.750039891905658</v>
      </c>
      <c r="W20" s="204">
        <f t="shared" si="1"/>
        <v>116246.33585664432</v>
      </c>
      <c r="X20" s="214"/>
      <c r="AA20" t="s">
        <v>69</v>
      </c>
      <c r="AB20" s="205">
        <v>7.4715</v>
      </c>
      <c r="AC20" s="205">
        <v>1367</v>
      </c>
      <c r="AD20" s="205">
        <v>100.5043</v>
      </c>
      <c r="AE20" s="205">
        <v>166730.46</v>
      </c>
      <c r="AF20" s="205">
        <v>165893.86</v>
      </c>
      <c r="AG20" s="206">
        <v>7.6834</v>
      </c>
      <c r="AH20" s="203">
        <f t="shared" si="2"/>
        <v>7.471446676221571</v>
      </c>
      <c r="AI20" s="204">
        <f t="shared" si="3"/>
        <v>1245717.7411918936</v>
      </c>
      <c r="AU20" s="196"/>
      <c r="AV20" s="196"/>
      <c r="AW20" s="196"/>
      <c r="AX20" s="197"/>
      <c r="AY20" s="196"/>
    </row>
    <row r="21" spans="1:51" ht="12.75">
      <c r="A21" t="s">
        <v>199</v>
      </c>
      <c r="B21" s="196">
        <v>98088316.424957</v>
      </c>
      <c r="C21" s="196">
        <v>18372362613.89</v>
      </c>
      <c r="D21" s="196">
        <v>1204717288.8297834</v>
      </c>
      <c r="E21" s="197">
        <v>12081440.61</v>
      </c>
      <c r="F21" s="196" t="s">
        <v>200</v>
      </c>
      <c r="O21" s="199">
        <v>40987</v>
      </c>
      <c r="P21" s="200" t="s">
        <v>155</v>
      </c>
      <c r="Q21" s="200">
        <v>99.8362</v>
      </c>
      <c r="R21" s="201">
        <v>6.8</v>
      </c>
      <c r="S21" s="200">
        <v>6.9754</v>
      </c>
      <c r="T21" s="200">
        <v>378574.17</v>
      </c>
      <c r="U21" s="202">
        <v>378574.17</v>
      </c>
      <c r="V21" s="203">
        <f t="shared" si="0"/>
        <v>6.800025143648369</v>
      </c>
      <c r="W21" s="204">
        <f t="shared" si="1"/>
        <v>2574313.874735812</v>
      </c>
      <c r="X21" s="79"/>
      <c r="AA21" t="s">
        <v>69</v>
      </c>
      <c r="AB21" s="205">
        <v>8.4994</v>
      </c>
      <c r="AC21" s="205">
        <v>1794</v>
      </c>
      <c r="AD21" s="205">
        <v>100</v>
      </c>
      <c r="AE21" s="205">
        <v>100000</v>
      </c>
      <c r="AF21" s="205">
        <v>100000</v>
      </c>
      <c r="AG21" s="206">
        <v>8.7742</v>
      </c>
      <c r="AH21" s="203">
        <f t="shared" si="2"/>
        <v>8.499440272885384</v>
      </c>
      <c r="AI21" s="204">
        <f t="shared" si="3"/>
        <v>849944.0272885384</v>
      </c>
      <c r="AU21" s="196"/>
      <c r="AV21" s="196"/>
      <c r="AW21" s="196"/>
      <c r="AX21" s="197"/>
      <c r="AY21" s="196"/>
    </row>
    <row r="22" spans="1:51" ht="12.75">
      <c r="A22" t="s">
        <v>352</v>
      </c>
      <c r="B22" s="196">
        <v>2233329.636085</v>
      </c>
      <c r="C22" s="196">
        <v>94522854.88</v>
      </c>
      <c r="D22" s="196">
        <v>26427506.753007002</v>
      </c>
      <c r="E22" s="197">
        <v>263519.44</v>
      </c>
      <c r="F22" s="196" t="s">
        <v>353</v>
      </c>
      <c r="O22" s="199">
        <v>40933</v>
      </c>
      <c r="P22" s="200" t="s">
        <v>97</v>
      </c>
      <c r="Q22" s="200">
        <v>100.5043</v>
      </c>
      <c r="R22" s="201">
        <v>7.4715</v>
      </c>
      <c r="S22" s="200">
        <v>7.6834</v>
      </c>
      <c r="T22" s="200">
        <v>166730.46</v>
      </c>
      <c r="U22" s="202">
        <v>166730.46</v>
      </c>
      <c r="V22" s="203">
        <f t="shared" si="0"/>
        <v>7.471446676221571</v>
      </c>
      <c r="W22" s="204">
        <f t="shared" si="1"/>
        <v>1245717.7411918936</v>
      </c>
      <c r="X22" s="214"/>
      <c r="AA22" t="s">
        <v>69</v>
      </c>
      <c r="AB22" s="205">
        <v>8.4993</v>
      </c>
      <c r="AC22" s="205">
        <v>1793</v>
      </c>
      <c r="AD22" s="205">
        <v>100</v>
      </c>
      <c r="AE22" s="205">
        <v>1000000.01</v>
      </c>
      <c r="AF22" s="205">
        <v>1000000</v>
      </c>
      <c r="AG22" s="206">
        <v>8.7741</v>
      </c>
      <c r="AH22" s="203">
        <f t="shared" si="2"/>
        <v>8.499346385828321</v>
      </c>
      <c r="AI22" s="204">
        <f t="shared" si="3"/>
        <v>8499346.470821785</v>
      </c>
      <c r="AU22" s="196"/>
      <c r="AV22" s="196"/>
      <c r="AW22" s="196"/>
      <c r="AX22" s="197"/>
      <c r="AY22" s="196"/>
    </row>
    <row r="23" spans="1:51" ht="12.75">
      <c r="A23" t="s">
        <v>354</v>
      </c>
      <c r="B23" s="196">
        <v>7368282.83901</v>
      </c>
      <c r="C23" s="196">
        <v>711277213.74</v>
      </c>
      <c r="D23" s="196">
        <v>111489069.754274</v>
      </c>
      <c r="E23" s="197">
        <v>1097390.59</v>
      </c>
      <c r="F23" s="196" t="s">
        <v>355</v>
      </c>
      <c r="O23" s="199">
        <v>40914</v>
      </c>
      <c r="P23" s="200" t="s">
        <v>110</v>
      </c>
      <c r="Q23" s="200">
        <v>100.9907</v>
      </c>
      <c r="R23" s="201">
        <v>7.5</v>
      </c>
      <c r="S23" s="200">
        <v>7.7136</v>
      </c>
      <c r="T23" s="200">
        <v>60594.42</v>
      </c>
      <c r="U23" s="202">
        <v>60594.42</v>
      </c>
      <c r="V23" s="203">
        <f t="shared" si="0"/>
        <v>7.500012694114311</v>
      </c>
      <c r="W23" s="204">
        <f t="shared" si="1"/>
        <v>454458.91919249407</v>
      </c>
      <c r="X23" s="79"/>
      <c r="AA23" t="s">
        <v>69</v>
      </c>
      <c r="AB23" s="205">
        <v>6.7</v>
      </c>
      <c r="AC23" s="205">
        <v>1684</v>
      </c>
      <c r="AD23" s="205">
        <v>102.4504</v>
      </c>
      <c r="AE23" s="205">
        <v>81960.3</v>
      </c>
      <c r="AF23" s="205">
        <v>80000</v>
      </c>
      <c r="AG23" s="206">
        <v>6.8702</v>
      </c>
      <c r="AH23" s="203">
        <f t="shared" si="2"/>
        <v>6.699976081847314</v>
      </c>
      <c r="AI23" s="204">
        <f t="shared" si="3"/>
        <v>549132.0496610304</v>
      </c>
      <c r="AU23" s="196"/>
      <c r="AV23" s="196"/>
      <c r="AW23" s="196"/>
      <c r="AX23" s="197"/>
      <c r="AY23" s="196"/>
    </row>
    <row r="24" spans="1:51" ht="12.75">
      <c r="A24" t="s">
        <v>110</v>
      </c>
      <c r="B24" s="196">
        <v>2805901.0939980005</v>
      </c>
      <c r="C24" s="196">
        <v>346924401.33</v>
      </c>
      <c r="D24" s="196">
        <v>44054666.5801826</v>
      </c>
      <c r="E24" s="197">
        <v>431364.48</v>
      </c>
      <c r="F24" s="196" t="s">
        <v>310</v>
      </c>
      <c r="O24" s="199">
        <v>40987</v>
      </c>
      <c r="P24" s="200" t="s">
        <v>131</v>
      </c>
      <c r="Q24" s="200">
        <v>100</v>
      </c>
      <c r="R24" s="201">
        <v>8.2467</v>
      </c>
      <c r="S24" s="200">
        <v>8.5053</v>
      </c>
      <c r="T24" s="200">
        <v>100000</v>
      </c>
      <c r="U24" s="202">
        <v>100000</v>
      </c>
      <c r="V24" s="203">
        <f t="shared" si="0"/>
        <v>8.246743683949465</v>
      </c>
      <c r="W24" s="204">
        <f t="shared" si="1"/>
        <v>824674.3683949464</v>
      </c>
      <c r="X24" s="214"/>
      <c r="AA24" t="s">
        <v>69</v>
      </c>
      <c r="AB24" s="205">
        <v>0</v>
      </c>
      <c r="AC24" s="205">
        <v>2874</v>
      </c>
      <c r="AD24" s="205">
        <v>96.7739</v>
      </c>
      <c r="AE24" s="205">
        <v>193547.8</v>
      </c>
      <c r="AF24" s="205">
        <v>200000</v>
      </c>
      <c r="AG24" s="206">
        <v>9.5758</v>
      </c>
      <c r="AH24" s="203">
        <f t="shared" si="2"/>
        <v>9.249967736011477</v>
      </c>
      <c r="AI24" s="204">
        <f t="shared" si="3"/>
        <v>1790310.9053760022</v>
      </c>
      <c r="AU24" s="196"/>
      <c r="AV24" s="196"/>
      <c r="AW24" s="196"/>
      <c r="AX24" s="197"/>
      <c r="AY24" s="196"/>
    </row>
    <row r="25" spans="1:51" ht="12.75">
      <c r="A25" t="s">
        <v>131</v>
      </c>
      <c r="B25" s="196">
        <v>133646645.100552</v>
      </c>
      <c r="C25" s="196">
        <v>16839203136.979996</v>
      </c>
      <c r="D25" s="196">
        <v>1587833863.2309158</v>
      </c>
      <c r="E25" s="197">
        <v>15862794.740000002</v>
      </c>
      <c r="F25" s="196" t="s">
        <v>311</v>
      </c>
      <c r="O25" s="199">
        <v>40984</v>
      </c>
      <c r="P25" s="200" t="s">
        <v>131</v>
      </c>
      <c r="Q25" s="200">
        <v>100</v>
      </c>
      <c r="R25" s="201">
        <v>8.2469</v>
      </c>
      <c r="S25" s="200">
        <v>8.5054</v>
      </c>
      <c r="T25" s="200">
        <v>40000</v>
      </c>
      <c r="U25" s="202">
        <v>40000</v>
      </c>
      <c r="V25" s="203">
        <f t="shared" si="0"/>
        <v>8.246837745392188</v>
      </c>
      <c r="W25" s="204">
        <f t="shared" si="1"/>
        <v>329873.50981568755</v>
      </c>
      <c r="X25" s="79"/>
      <c r="AA25" t="s">
        <v>69</v>
      </c>
      <c r="AB25" s="205">
        <v>0</v>
      </c>
      <c r="AC25" s="205">
        <v>2874</v>
      </c>
      <c r="AD25" s="205">
        <v>96.7739</v>
      </c>
      <c r="AE25" s="205">
        <v>290321.68</v>
      </c>
      <c r="AF25" s="205">
        <v>300000</v>
      </c>
      <c r="AG25" s="206">
        <v>9.5758</v>
      </c>
      <c r="AH25" s="203">
        <f t="shared" si="2"/>
        <v>9.249967736011477</v>
      </c>
      <c r="AI25" s="204">
        <f t="shared" si="3"/>
        <v>2685466.1730646486</v>
      </c>
      <c r="AU25" s="196"/>
      <c r="AV25" s="196"/>
      <c r="AW25" s="196"/>
      <c r="AX25" s="197"/>
      <c r="AY25" s="196"/>
    </row>
    <row r="26" spans="1:51" ht="12.75">
      <c r="A26" t="s">
        <v>356</v>
      </c>
      <c r="B26" s="196">
        <v>198350717.879298</v>
      </c>
      <c r="C26" s="196">
        <v>84165423599.54999</v>
      </c>
      <c r="D26" s="196">
        <v>3146438462.5373096</v>
      </c>
      <c r="E26" s="197">
        <v>31385780.22</v>
      </c>
      <c r="F26" s="196" t="s">
        <v>357</v>
      </c>
      <c r="O26" s="199">
        <v>40982</v>
      </c>
      <c r="P26" s="200" t="s">
        <v>131</v>
      </c>
      <c r="Q26" s="200">
        <v>100</v>
      </c>
      <c r="R26" s="201">
        <v>8.247</v>
      </c>
      <c r="S26" s="200">
        <v>8.5055</v>
      </c>
      <c r="T26" s="200">
        <v>40000</v>
      </c>
      <c r="U26" s="202">
        <v>40000</v>
      </c>
      <c r="V26" s="203">
        <f t="shared" si="0"/>
        <v>8.246931806769897</v>
      </c>
      <c r="W26" s="204">
        <f t="shared" si="1"/>
        <v>329877.2722707959</v>
      </c>
      <c r="X26" s="209"/>
      <c r="AA26" t="s">
        <v>69</v>
      </c>
      <c r="AB26" s="205">
        <v>0</v>
      </c>
      <c r="AC26" s="205">
        <v>2880</v>
      </c>
      <c r="AD26" s="205">
        <v>96.768</v>
      </c>
      <c r="AE26" s="205">
        <v>967679.62</v>
      </c>
      <c r="AF26" s="205">
        <v>1000000</v>
      </c>
      <c r="AG26" s="206">
        <v>9.5758</v>
      </c>
      <c r="AH26" s="203">
        <f t="shared" si="2"/>
        <v>9.249967736011477</v>
      </c>
      <c r="AI26" s="204">
        <f t="shared" si="3"/>
        <v>8951005.263795847</v>
      </c>
      <c r="AU26" s="196"/>
      <c r="AV26" s="196"/>
      <c r="AW26" s="196"/>
      <c r="AX26" s="197"/>
      <c r="AY26" s="196"/>
    </row>
    <row r="27" spans="1:51" ht="12.75">
      <c r="A27" t="s">
        <v>358</v>
      </c>
      <c r="B27" s="196">
        <v>325400422.3</v>
      </c>
      <c r="C27" s="196">
        <v>161215030000</v>
      </c>
      <c r="D27" s="196">
        <v>5000000000</v>
      </c>
      <c r="E27" s="197">
        <v>50000000</v>
      </c>
      <c r="F27" s="196" t="s">
        <v>359</v>
      </c>
      <c r="O27" s="199">
        <v>40983</v>
      </c>
      <c r="P27" s="200" t="s">
        <v>131</v>
      </c>
      <c r="Q27" s="200">
        <v>100</v>
      </c>
      <c r="R27" s="201">
        <v>8.2469</v>
      </c>
      <c r="S27" s="200">
        <v>8.5055</v>
      </c>
      <c r="T27" s="200">
        <v>280000</v>
      </c>
      <c r="U27" s="202">
        <v>280000</v>
      </c>
      <c r="V27" s="203">
        <f t="shared" si="0"/>
        <v>8.246931806769897</v>
      </c>
      <c r="W27" s="204">
        <f t="shared" si="1"/>
        <v>2309140.905895571</v>
      </c>
      <c r="X27" s="209"/>
      <c r="AA27" t="s">
        <v>69</v>
      </c>
      <c r="AB27" s="205">
        <v>0</v>
      </c>
      <c r="AC27" s="205">
        <v>1800</v>
      </c>
      <c r="AD27" s="205">
        <v>100</v>
      </c>
      <c r="AE27" s="205">
        <v>999999.71</v>
      </c>
      <c r="AF27" s="205">
        <v>1000000</v>
      </c>
      <c r="AG27" s="206">
        <v>7.7136</v>
      </c>
      <c r="AH27" s="203">
        <f t="shared" si="2"/>
        <v>7.500012694114311</v>
      </c>
      <c r="AI27" s="204">
        <f t="shared" si="3"/>
        <v>7500010.519110629</v>
      </c>
      <c r="AU27" s="196"/>
      <c r="AV27" s="196"/>
      <c r="AW27" s="196"/>
      <c r="AX27" s="197"/>
      <c r="AY27" s="196"/>
    </row>
    <row r="28" spans="1:51" ht="12.75">
      <c r="A28" t="s">
        <v>290</v>
      </c>
      <c r="B28" s="196">
        <v>169483333.27827597</v>
      </c>
      <c r="C28" s="196">
        <v>27516676584.28</v>
      </c>
      <c r="D28" s="196">
        <v>2245832079.396197</v>
      </c>
      <c r="E28" s="197">
        <v>22437684.640000004</v>
      </c>
      <c r="F28" s="196" t="s">
        <v>291</v>
      </c>
      <c r="O28" s="199">
        <v>40983</v>
      </c>
      <c r="P28" s="200" t="s">
        <v>131</v>
      </c>
      <c r="Q28" s="200">
        <v>100</v>
      </c>
      <c r="R28" s="201">
        <v>8.2469</v>
      </c>
      <c r="S28" s="200">
        <v>8.5054</v>
      </c>
      <c r="T28" s="200">
        <v>590000</v>
      </c>
      <c r="U28" s="202">
        <v>590000</v>
      </c>
      <c r="V28" s="203">
        <f t="shared" si="0"/>
        <v>8.246837745392188</v>
      </c>
      <c r="W28" s="204">
        <f t="shared" si="1"/>
        <v>4865634.269781391</v>
      </c>
      <c r="X28" s="209"/>
      <c r="AA28" t="s">
        <v>69</v>
      </c>
      <c r="AB28" s="205">
        <v>0</v>
      </c>
      <c r="AC28" s="205">
        <v>1800</v>
      </c>
      <c r="AD28" s="205">
        <v>100</v>
      </c>
      <c r="AE28" s="205">
        <v>999999.71</v>
      </c>
      <c r="AF28" s="205">
        <v>1000000</v>
      </c>
      <c r="AG28" s="206">
        <v>7.7136</v>
      </c>
      <c r="AH28" s="203">
        <f t="shared" si="2"/>
        <v>7.500012694114311</v>
      </c>
      <c r="AI28" s="204">
        <f t="shared" si="3"/>
        <v>7500010.519110629</v>
      </c>
      <c r="AU28" s="196"/>
      <c r="AV28" s="196"/>
      <c r="AW28" s="196"/>
      <c r="AX28" s="197"/>
      <c r="AY28" s="196"/>
    </row>
    <row r="29" spans="1:51" ht="12.75">
      <c r="A29" t="s">
        <v>360</v>
      </c>
      <c r="B29" s="196">
        <v>14476571.250176</v>
      </c>
      <c r="C29" s="196">
        <v>1832423464.26</v>
      </c>
      <c r="D29" s="196">
        <v>173756708.72106397</v>
      </c>
      <c r="E29" s="197">
        <v>1756183.43</v>
      </c>
      <c r="F29" s="196" t="s">
        <v>361</v>
      </c>
      <c r="O29" s="199">
        <v>40988</v>
      </c>
      <c r="P29" s="200" t="s">
        <v>131</v>
      </c>
      <c r="Q29" s="200">
        <v>100</v>
      </c>
      <c r="R29" s="201">
        <v>8.2467</v>
      </c>
      <c r="S29" s="200">
        <v>8.5052</v>
      </c>
      <c r="T29" s="200">
        <v>200000</v>
      </c>
      <c r="U29" s="202">
        <v>200000</v>
      </c>
      <c r="V29" s="203">
        <f t="shared" si="0"/>
        <v>8.246649622441637</v>
      </c>
      <c r="W29" s="204">
        <f t="shared" si="1"/>
        <v>1649329.9244883275</v>
      </c>
      <c r="X29" s="209"/>
      <c r="AA29" t="s">
        <v>69</v>
      </c>
      <c r="AB29" s="205">
        <v>7.5912</v>
      </c>
      <c r="AC29" s="205">
        <v>1158</v>
      </c>
      <c r="AD29" s="205">
        <v>102.377726</v>
      </c>
      <c r="AE29" s="205">
        <v>484152.84</v>
      </c>
      <c r="AF29" s="205">
        <v>472908.37</v>
      </c>
      <c r="AG29" s="206">
        <v>7.81</v>
      </c>
      <c r="AH29" s="203">
        <f t="shared" si="2"/>
        <v>7.5911567656317125</v>
      </c>
      <c r="AI29" s="204">
        <f t="shared" si="3"/>
        <v>3675280.106965808</v>
      </c>
      <c r="AU29" s="196"/>
      <c r="AV29" s="196"/>
      <c r="AW29" s="196"/>
      <c r="AX29" s="197"/>
      <c r="AY29" s="196"/>
    </row>
    <row r="30" spans="1:51" ht="12.75">
      <c r="A30" t="s">
        <v>312</v>
      </c>
      <c r="B30" s="196">
        <v>329605.06524</v>
      </c>
      <c r="C30" s="196">
        <v>34795596</v>
      </c>
      <c r="D30" s="196">
        <v>5086047.05312</v>
      </c>
      <c r="E30" s="197">
        <v>50428.4</v>
      </c>
      <c r="F30" s="196" t="s">
        <v>313</v>
      </c>
      <c r="O30" s="199">
        <v>40989</v>
      </c>
      <c r="P30" s="200" t="s">
        <v>131</v>
      </c>
      <c r="Q30" s="200">
        <v>100</v>
      </c>
      <c r="R30" s="201">
        <v>8.2467</v>
      </c>
      <c r="S30" s="200">
        <v>8.5052</v>
      </c>
      <c r="T30" s="200">
        <v>130000</v>
      </c>
      <c r="U30" s="202">
        <v>130000</v>
      </c>
      <c r="V30" s="203">
        <f t="shared" si="0"/>
        <v>8.246649622441637</v>
      </c>
      <c r="W30" s="204">
        <f t="shared" si="1"/>
        <v>1072064.4509174128</v>
      </c>
      <c r="X30" s="209"/>
      <c r="AA30" t="s">
        <v>69</v>
      </c>
      <c r="AB30" s="205">
        <v>8.4992</v>
      </c>
      <c r="AC30" s="205">
        <v>1792</v>
      </c>
      <c r="AD30" s="205">
        <v>100</v>
      </c>
      <c r="AE30" s="205">
        <v>550000.12</v>
      </c>
      <c r="AF30" s="205">
        <v>550000</v>
      </c>
      <c r="AG30" s="206">
        <v>8.7739</v>
      </c>
      <c r="AH30" s="203">
        <f t="shared" si="2"/>
        <v>8.499158611519864</v>
      </c>
      <c r="AI30" s="204">
        <f t="shared" si="3"/>
        <v>4674538.256234959</v>
      </c>
      <c r="AU30" s="196"/>
      <c r="AV30" s="196"/>
      <c r="AW30" s="196"/>
      <c r="AX30" s="197"/>
      <c r="AY30" s="196"/>
    </row>
    <row r="31" spans="1:51" ht="12.75">
      <c r="A31" t="s">
        <v>183</v>
      </c>
      <c r="B31" s="196">
        <v>8176424.630903999</v>
      </c>
      <c r="C31" s="196">
        <v>1503204024.95</v>
      </c>
      <c r="D31" s="196">
        <v>132434616.67943308</v>
      </c>
      <c r="E31" s="197">
        <v>1277691.7</v>
      </c>
      <c r="F31" s="196" t="s">
        <v>324</v>
      </c>
      <c r="O31" s="199">
        <v>40989</v>
      </c>
      <c r="P31" s="200" t="s">
        <v>131</v>
      </c>
      <c r="Q31" s="200">
        <v>100</v>
      </c>
      <c r="R31" s="201">
        <v>8.2466</v>
      </c>
      <c r="S31" s="200">
        <v>8.5052</v>
      </c>
      <c r="T31" s="200">
        <v>200000</v>
      </c>
      <c r="U31" s="202">
        <v>200000</v>
      </c>
      <c r="V31" s="203">
        <f t="shared" si="0"/>
        <v>8.246649622441637</v>
      </c>
      <c r="W31" s="204">
        <f t="shared" si="1"/>
        <v>1649329.9244883275</v>
      </c>
      <c r="X31" s="209"/>
      <c r="AA31" t="s">
        <v>69</v>
      </c>
      <c r="AB31" s="205">
        <v>8.4992</v>
      </c>
      <c r="AC31" s="205">
        <v>1792</v>
      </c>
      <c r="AD31" s="205">
        <v>100</v>
      </c>
      <c r="AE31" s="205">
        <v>210000.05</v>
      </c>
      <c r="AF31" s="205">
        <v>210000</v>
      </c>
      <c r="AG31" s="206">
        <v>8.7739</v>
      </c>
      <c r="AH31" s="203">
        <f t="shared" si="2"/>
        <v>8.499158611519864</v>
      </c>
      <c r="AI31" s="204">
        <f t="shared" si="3"/>
        <v>1784823.7333771018</v>
      </c>
      <c r="AU31" s="196"/>
      <c r="AV31" s="196"/>
      <c r="AW31" s="196"/>
      <c r="AX31" s="197"/>
      <c r="AY31" s="196"/>
    </row>
    <row r="32" spans="1:51" ht="12.75">
      <c r="A32" t="s">
        <v>132</v>
      </c>
      <c r="B32" s="196">
        <v>572070.119088</v>
      </c>
      <c r="C32" s="196">
        <v>71146443.67</v>
      </c>
      <c r="D32" s="196">
        <v>7416096.844384</v>
      </c>
      <c r="E32" s="197">
        <v>74163.83</v>
      </c>
      <c r="F32" s="196" t="s">
        <v>362</v>
      </c>
      <c r="O32" s="199">
        <v>40987</v>
      </c>
      <c r="P32" s="200" t="s">
        <v>131</v>
      </c>
      <c r="Q32" s="200">
        <v>100</v>
      </c>
      <c r="R32" s="201">
        <v>8.2467</v>
      </c>
      <c r="S32" s="200">
        <v>8.5053</v>
      </c>
      <c r="T32" s="200">
        <v>15000</v>
      </c>
      <c r="U32" s="202">
        <v>15000</v>
      </c>
      <c r="V32" s="203">
        <f t="shared" si="0"/>
        <v>8.246743683949465</v>
      </c>
      <c r="W32" s="204">
        <f t="shared" si="1"/>
        <v>123701.15525924196</v>
      </c>
      <c r="X32" s="209"/>
      <c r="AA32" t="s">
        <v>69</v>
      </c>
      <c r="AB32" s="205">
        <v>8.4992</v>
      </c>
      <c r="AC32" s="205">
        <v>1792</v>
      </c>
      <c r="AD32" s="205">
        <v>100</v>
      </c>
      <c r="AE32" s="205">
        <v>82000</v>
      </c>
      <c r="AF32" s="205">
        <v>82000</v>
      </c>
      <c r="AG32" s="206">
        <v>8.774</v>
      </c>
      <c r="AH32" s="203">
        <f t="shared" si="2"/>
        <v>8.499252498706422</v>
      </c>
      <c r="AI32" s="204">
        <f t="shared" si="3"/>
        <v>696938.7048939266</v>
      </c>
      <c r="AU32" s="196"/>
      <c r="AV32" s="196"/>
      <c r="AW32" s="196"/>
      <c r="AX32" s="197"/>
      <c r="AY32" s="196"/>
    </row>
    <row r="33" spans="1:51" ht="12.75">
      <c r="A33" t="s">
        <v>325</v>
      </c>
      <c r="B33" s="196">
        <v>186672.93555</v>
      </c>
      <c r="C33" s="196">
        <v>14601038.2</v>
      </c>
      <c r="D33" s="196">
        <v>2049237.6785379997</v>
      </c>
      <c r="E33" s="197">
        <v>20558.5</v>
      </c>
      <c r="F33" s="196" t="s">
        <v>326</v>
      </c>
      <c r="O33" s="199">
        <v>40967</v>
      </c>
      <c r="P33" s="200" t="s">
        <v>131</v>
      </c>
      <c r="Q33" s="200">
        <v>100</v>
      </c>
      <c r="R33" s="201">
        <v>8.2482</v>
      </c>
      <c r="S33" s="200">
        <v>8.5068</v>
      </c>
      <c r="T33" s="200">
        <v>15000</v>
      </c>
      <c r="U33" s="202">
        <v>15000</v>
      </c>
      <c r="V33" s="203">
        <f t="shared" si="0"/>
        <v>8.248154598764135</v>
      </c>
      <c r="W33" s="204">
        <f t="shared" si="1"/>
        <v>123722.31898146203</v>
      </c>
      <c r="X33" s="209"/>
      <c r="AA33" t="s">
        <v>69</v>
      </c>
      <c r="AB33" s="205">
        <v>8</v>
      </c>
      <c r="AC33" s="205">
        <v>1288</v>
      </c>
      <c r="AD33" s="205">
        <v>99.635</v>
      </c>
      <c r="AE33" s="205">
        <v>80704.37</v>
      </c>
      <c r="AF33" s="205">
        <v>81000</v>
      </c>
      <c r="AG33" s="206">
        <v>8.2432</v>
      </c>
      <c r="AH33" s="203">
        <f t="shared" si="2"/>
        <v>7.9999849228418185</v>
      </c>
      <c r="AI33" s="204">
        <f t="shared" si="3"/>
        <v>645633.7432074476</v>
      </c>
      <c r="AU33" s="196"/>
      <c r="AV33" s="196"/>
      <c r="AW33" s="196"/>
      <c r="AX33" s="197"/>
      <c r="AY33" s="196"/>
    </row>
    <row r="34" spans="1:51" ht="12.75">
      <c r="A34" t="s">
        <v>292</v>
      </c>
      <c r="B34" s="196">
        <v>75056390.989292</v>
      </c>
      <c r="C34" s="196">
        <v>16004811054.11</v>
      </c>
      <c r="D34" s="196">
        <v>960731811.9155201</v>
      </c>
      <c r="E34" s="197">
        <v>9680053.370000001</v>
      </c>
      <c r="F34" s="196" t="s">
        <v>293</v>
      </c>
      <c r="O34" s="199">
        <v>40975</v>
      </c>
      <c r="P34" s="200" t="s">
        <v>131</v>
      </c>
      <c r="Q34" s="200">
        <v>99.9959</v>
      </c>
      <c r="R34" s="201">
        <v>8.25</v>
      </c>
      <c r="S34" s="200">
        <v>8.5088</v>
      </c>
      <c r="T34" s="200">
        <v>1879922.72</v>
      </c>
      <c r="U34" s="202">
        <v>1879922.72</v>
      </c>
      <c r="V34" s="203">
        <f t="shared" si="0"/>
        <v>8.250035795761956</v>
      </c>
      <c r="W34" s="204">
        <f t="shared" si="1"/>
        <v>15509429.73326618</v>
      </c>
      <c r="X34" s="209"/>
      <c r="AA34" t="s">
        <v>69</v>
      </c>
      <c r="AB34" s="205">
        <v>7.75</v>
      </c>
      <c r="AC34" s="205">
        <v>1288</v>
      </c>
      <c r="AD34" s="205">
        <v>99.996</v>
      </c>
      <c r="AE34" s="205">
        <v>79996.81</v>
      </c>
      <c r="AF34" s="205">
        <v>80000</v>
      </c>
      <c r="AG34" s="206">
        <v>7.9782</v>
      </c>
      <c r="AH34" s="203">
        <f t="shared" si="2"/>
        <v>7.750039891905658</v>
      </c>
      <c r="AI34" s="204">
        <f t="shared" si="3"/>
        <v>619978.4687251975</v>
      </c>
      <c r="AU34" s="196"/>
      <c r="AV34" s="196"/>
      <c r="AW34" s="196"/>
      <c r="AX34" s="197"/>
      <c r="AY34" s="196"/>
    </row>
    <row r="35" spans="1:51" ht="12.75">
      <c r="A35" t="s">
        <v>102</v>
      </c>
      <c r="B35" s="196">
        <v>35535200.49586601</v>
      </c>
      <c r="C35" s="196">
        <v>5124017095.07</v>
      </c>
      <c r="D35" s="196">
        <v>503957355.90640104</v>
      </c>
      <c r="E35" s="197">
        <v>4930066.27</v>
      </c>
      <c r="F35" s="196" t="s">
        <v>294</v>
      </c>
      <c r="I35" s="208"/>
      <c r="O35" s="199">
        <v>40975</v>
      </c>
      <c r="P35" s="200" t="s">
        <v>131</v>
      </c>
      <c r="Q35" s="200">
        <v>99.9959</v>
      </c>
      <c r="R35" s="201">
        <v>8.25</v>
      </c>
      <c r="S35" s="200">
        <v>8.5088</v>
      </c>
      <c r="T35" s="200">
        <v>99995.9</v>
      </c>
      <c r="U35" s="202">
        <v>99995.9</v>
      </c>
      <c r="V35" s="203">
        <f t="shared" si="0"/>
        <v>8.250035795761956</v>
      </c>
      <c r="W35" s="204">
        <f t="shared" si="1"/>
        <v>824969.7544294329</v>
      </c>
      <c r="X35" s="209"/>
      <c r="AA35" t="s">
        <v>69</v>
      </c>
      <c r="AB35" s="205">
        <v>0</v>
      </c>
      <c r="AC35" s="205">
        <v>1061</v>
      </c>
      <c r="AD35" s="205">
        <v>100</v>
      </c>
      <c r="AE35" s="205">
        <v>1000000</v>
      </c>
      <c r="AF35" s="205">
        <v>1000000</v>
      </c>
      <c r="AG35" s="206">
        <v>6.3967</v>
      </c>
      <c r="AH35" s="203">
        <f t="shared" si="2"/>
        <v>6.248743598359052</v>
      </c>
      <c r="AI35" s="204">
        <f t="shared" si="3"/>
        <v>6248743.598359052</v>
      </c>
      <c r="AU35" s="196"/>
      <c r="AV35" s="196"/>
      <c r="AW35" s="196"/>
      <c r="AX35" s="197"/>
      <c r="AY35" s="196"/>
    </row>
    <row r="36" spans="1:51" ht="12.75">
      <c r="A36" t="s">
        <v>363</v>
      </c>
      <c r="B36" s="196">
        <v>4829063.25479</v>
      </c>
      <c r="C36" s="196">
        <v>860705867.4000001</v>
      </c>
      <c r="D36" s="196">
        <v>67432406.55528401</v>
      </c>
      <c r="E36" s="197">
        <v>668161.26</v>
      </c>
      <c r="F36" s="196" t="s">
        <v>364</v>
      </c>
      <c r="O36" s="199">
        <v>40975</v>
      </c>
      <c r="P36" s="200" t="s">
        <v>131</v>
      </c>
      <c r="Q36" s="200">
        <v>100</v>
      </c>
      <c r="R36" s="201">
        <v>8.2474</v>
      </c>
      <c r="S36" s="200">
        <v>8.506</v>
      </c>
      <c r="T36" s="200">
        <v>100000</v>
      </c>
      <c r="U36" s="202">
        <v>100000</v>
      </c>
      <c r="V36" s="203">
        <f t="shared" si="0"/>
        <v>8.2474021126834</v>
      </c>
      <c r="W36" s="204">
        <f t="shared" si="1"/>
        <v>824740.21126834</v>
      </c>
      <c r="X36" s="209"/>
      <c r="AA36" t="s">
        <v>69</v>
      </c>
      <c r="AB36" s="205">
        <v>0</v>
      </c>
      <c r="AC36" s="205">
        <v>2880</v>
      </c>
      <c r="AD36" s="205">
        <v>96.768</v>
      </c>
      <c r="AE36" s="205">
        <v>967679.62</v>
      </c>
      <c r="AF36" s="205">
        <v>1000000</v>
      </c>
      <c r="AG36" s="206">
        <v>9.5758</v>
      </c>
      <c r="AH36" s="203">
        <f t="shared" si="2"/>
        <v>9.249967736011477</v>
      </c>
      <c r="AI36" s="204">
        <f t="shared" si="3"/>
        <v>8951005.263795847</v>
      </c>
      <c r="AU36" s="196"/>
      <c r="AV36" s="196"/>
      <c r="AW36" s="196"/>
      <c r="AX36" s="197"/>
      <c r="AY36" s="196"/>
    </row>
    <row r="37" spans="1:51" ht="12.75">
      <c r="A37" t="s">
        <v>302</v>
      </c>
      <c r="B37" s="196">
        <v>2648248.7937</v>
      </c>
      <c r="C37" s="196">
        <v>342988586.43999994</v>
      </c>
      <c r="D37" s="196">
        <v>45433067.15223501</v>
      </c>
      <c r="E37" s="197">
        <v>443895.58</v>
      </c>
      <c r="F37" s="196" t="s">
        <v>314</v>
      </c>
      <c r="O37" s="199">
        <v>40966</v>
      </c>
      <c r="P37" s="200" t="s">
        <v>131</v>
      </c>
      <c r="Q37" s="200">
        <v>100</v>
      </c>
      <c r="R37" s="201">
        <v>8.2483</v>
      </c>
      <c r="S37" s="200">
        <v>8.5069</v>
      </c>
      <c r="T37" s="200">
        <v>200000</v>
      </c>
      <c r="U37" s="202">
        <v>200000</v>
      </c>
      <c r="V37" s="203">
        <f t="shared" si="0"/>
        <v>8.248248659231638</v>
      </c>
      <c r="W37" s="204">
        <f t="shared" si="1"/>
        <v>1649649.7318463277</v>
      </c>
      <c r="X37" s="209"/>
      <c r="AA37" t="s">
        <v>69</v>
      </c>
      <c r="AB37" s="205">
        <v>0</v>
      </c>
      <c r="AC37" s="205">
        <v>2880</v>
      </c>
      <c r="AD37" s="205">
        <v>96.768</v>
      </c>
      <c r="AE37" s="205">
        <v>967679.62</v>
      </c>
      <c r="AF37" s="205">
        <v>1000000</v>
      </c>
      <c r="AG37" s="206">
        <v>9.5758</v>
      </c>
      <c r="AH37" s="203">
        <f t="shared" si="2"/>
        <v>9.249967736011477</v>
      </c>
      <c r="AI37" s="204">
        <f t="shared" si="3"/>
        <v>8951005.263795847</v>
      </c>
      <c r="AT37" s="187"/>
      <c r="AU37" s="208"/>
      <c r="AV37" s="208"/>
      <c r="AW37" s="208"/>
      <c r="AX37" s="208"/>
      <c r="AY37" s="216"/>
    </row>
    <row r="38" spans="1:35" ht="12.75">
      <c r="A38" t="s">
        <v>117</v>
      </c>
      <c r="B38" s="196">
        <v>92116719.37845498</v>
      </c>
      <c r="C38" s="196">
        <v>15185975558.91</v>
      </c>
      <c r="D38" s="196">
        <v>1154848704.7756557</v>
      </c>
      <c r="E38" s="197">
        <v>11508416.000000002</v>
      </c>
      <c r="F38" s="196" t="s">
        <v>327</v>
      </c>
      <c r="O38" s="199">
        <v>40970</v>
      </c>
      <c r="P38" s="200" t="s">
        <v>131</v>
      </c>
      <c r="Q38" s="200">
        <v>100</v>
      </c>
      <c r="R38" s="201">
        <v>8.2475</v>
      </c>
      <c r="S38" s="200">
        <v>8.5062</v>
      </c>
      <c r="T38" s="200">
        <v>65000</v>
      </c>
      <c r="U38" s="202">
        <v>65000</v>
      </c>
      <c r="V38" s="203">
        <f t="shared" si="0"/>
        <v>8.247590234593627</v>
      </c>
      <c r="W38" s="204">
        <f t="shared" si="1"/>
        <v>536093.3652485857</v>
      </c>
      <c r="X38" s="209"/>
      <c r="AA38" t="s">
        <v>69</v>
      </c>
      <c r="AB38" s="205">
        <v>0</v>
      </c>
      <c r="AC38" s="205">
        <v>2880</v>
      </c>
      <c r="AD38" s="205">
        <v>96.768</v>
      </c>
      <c r="AE38" s="205">
        <v>967679.62</v>
      </c>
      <c r="AF38" s="205">
        <v>1000000</v>
      </c>
      <c r="AG38" s="206">
        <v>9.5758</v>
      </c>
      <c r="AH38" s="203">
        <f t="shared" si="2"/>
        <v>9.249967736011477</v>
      </c>
      <c r="AI38" s="204">
        <f t="shared" si="3"/>
        <v>8951005.263795847</v>
      </c>
    </row>
    <row r="39" spans="1:35" ht="12.75">
      <c r="A39" t="s">
        <v>119</v>
      </c>
      <c r="B39" s="196">
        <v>27896656.826428</v>
      </c>
      <c r="C39" s="196">
        <v>5844856146.439999</v>
      </c>
      <c r="D39" s="196">
        <v>340942444.56081694</v>
      </c>
      <c r="E39" s="197">
        <v>3407205.48</v>
      </c>
      <c r="F39" s="196" t="s">
        <v>120</v>
      </c>
      <c r="O39" s="199">
        <v>40970</v>
      </c>
      <c r="P39" s="200" t="s">
        <v>131</v>
      </c>
      <c r="Q39" s="200">
        <v>100</v>
      </c>
      <c r="R39" s="201">
        <v>8.2475</v>
      </c>
      <c r="S39" s="200">
        <v>8.5062</v>
      </c>
      <c r="T39" s="200">
        <v>20000</v>
      </c>
      <c r="U39" s="202">
        <v>20000</v>
      </c>
      <c r="V39" s="203">
        <f t="shared" si="0"/>
        <v>8.247590234593627</v>
      </c>
      <c r="W39" s="204">
        <f t="shared" si="1"/>
        <v>164951.80469187253</v>
      </c>
      <c r="X39" s="209"/>
      <c r="AA39" t="s">
        <v>69</v>
      </c>
      <c r="AB39" s="205">
        <v>0</v>
      </c>
      <c r="AC39" s="205">
        <v>2880</v>
      </c>
      <c r="AD39" s="205">
        <v>96.768</v>
      </c>
      <c r="AE39" s="205">
        <v>967679.62</v>
      </c>
      <c r="AF39" s="205">
        <v>1000000</v>
      </c>
      <c r="AG39" s="206">
        <v>9.5758</v>
      </c>
      <c r="AH39" s="203">
        <f t="shared" si="2"/>
        <v>9.249967736011477</v>
      </c>
      <c r="AI39" s="204">
        <f t="shared" si="3"/>
        <v>8951005.263795847</v>
      </c>
    </row>
    <row r="40" spans="1:35" ht="12.75">
      <c r="A40" t="s">
        <v>156</v>
      </c>
      <c r="B40" s="196">
        <v>209153799.977763</v>
      </c>
      <c r="C40" s="196">
        <v>31787139673.35</v>
      </c>
      <c r="D40" s="196">
        <v>2627762428.6568394</v>
      </c>
      <c r="E40" s="197">
        <v>26477171.990000006</v>
      </c>
      <c r="F40" s="196" t="s">
        <v>328</v>
      </c>
      <c r="O40" s="199">
        <v>40956</v>
      </c>
      <c r="P40" s="200" t="s">
        <v>131</v>
      </c>
      <c r="Q40" s="200">
        <v>100</v>
      </c>
      <c r="R40" s="201">
        <v>8.2495</v>
      </c>
      <c r="S40" s="200">
        <v>8.5082</v>
      </c>
      <c r="T40" s="200">
        <v>10000</v>
      </c>
      <c r="U40" s="202">
        <v>10000</v>
      </c>
      <c r="V40" s="203">
        <f t="shared" si="0"/>
        <v>8.249471439393208</v>
      </c>
      <c r="W40" s="204">
        <f t="shared" si="1"/>
        <v>82494.71439393208</v>
      </c>
      <c r="X40" s="209"/>
      <c r="AA40" t="s">
        <v>69</v>
      </c>
      <c r="AB40" s="205">
        <v>6.55</v>
      </c>
      <c r="AC40" s="205">
        <v>301</v>
      </c>
      <c r="AD40" s="205">
        <v>100.6769</v>
      </c>
      <c r="AE40" s="205">
        <v>13369.89</v>
      </c>
      <c r="AF40" s="205">
        <v>13280</v>
      </c>
      <c r="AG40" s="206">
        <v>6.7126</v>
      </c>
      <c r="AH40" s="203">
        <f t="shared" si="2"/>
        <v>6.549954391371404</v>
      </c>
      <c r="AI40" s="204">
        <f t="shared" si="3"/>
        <v>87572.16971765262</v>
      </c>
    </row>
    <row r="41" spans="1:35" ht="12.75">
      <c r="A41" t="s">
        <v>275</v>
      </c>
      <c r="B41" s="196">
        <v>2054160.7082659998</v>
      </c>
      <c r="C41" s="196">
        <v>148897559.60999998</v>
      </c>
      <c r="D41" s="196">
        <v>19867544.608359</v>
      </c>
      <c r="E41" s="197">
        <v>181314.85</v>
      </c>
      <c r="F41" s="196" t="s">
        <v>276</v>
      </c>
      <c r="O41" s="199">
        <v>40956</v>
      </c>
      <c r="P41" s="200" t="s">
        <v>131</v>
      </c>
      <c r="Q41" s="200">
        <v>99.9999</v>
      </c>
      <c r="R41" s="201">
        <v>8.2495</v>
      </c>
      <c r="S41" s="200">
        <v>8.5082</v>
      </c>
      <c r="T41" s="200">
        <v>1499998.83</v>
      </c>
      <c r="U41" s="202">
        <v>1499998.83</v>
      </c>
      <c r="V41" s="203">
        <f t="shared" si="0"/>
        <v>8.249471439393208</v>
      </c>
      <c r="W41" s="204">
        <f t="shared" si="1"/>
        <v>12374197.507208228</v>
      </c>
      <c r="X41" s="209"/>
      <c r="AA41" t="s">
        <v>69</v>
      </c>
      <c r="AB41" s="205">
        <v>6.55</v>
      </c>
      <c r="AC41" s="205">
        <v>301</v>
      </c>
      <c r="AD41" s="205">
        <v>100.6769</v>
      </c>
      <c r="AE41" s="205">
        <v>6684.95</v>
      </c>
      <c r="AF41" s="205">
        <v>6640</v>
      </c>
      <c r="AG41" s="206">
        <v>6.7126</v>
      </c>
      <c r="AH41" s="203">
        <f t="shared" si="2"/>
        <v>6.549954391371404</v>
      </c>
      <c r="AI41" s="204">
        <f t="shared" si="3"/>
        <v>43786.117608598266</v>
      </c>
    </row>
    <row r="42" spans="1:35" ht="12.75">
      <c r="A42" t="s">
        <v>365</v>
      </c>
      <c r="B42" s="196">
        <v>143542.74627</v>
      </c>
      <c r="C42" s="196">
        <v>1536893.82</v>
      </c>
      <c r="D42" s="196">
        <v>3148079.205348</v>
      </c>
      <c r="E42" s="197">
        <v>31365.18</v>
      </c>
      <c r="F42" s="196" t="s">
        <v>366</v>
      </c>
      <c r="O42" s="199">
        <v>40961</v>
      </c>
      <c r="P42" s="200" t="s">
        <v>131</v>
      </c>
      <c r="Q42" s="200">
        <v>100</v>
      </c>
      <c r="R42" s="201">
        <v>8.2488</v>
      </c>
      <c r="S42" s="200">
        <v>8.5075</v>
      </c>
      <c r="T42" s="200">
        <v>200000</v>
      </c>
      <c r="U42" s="202">
        <v>200000</v>
      </c>
      <c r="V42" s="203">
        <f t="shared" si="0"/>
        <v>8.24881302067153</v>
      </c>
      <c r="W42" s="204">
        <f t="shared" si="1"/>
        <v>1649762.604134306</v>
      </c>
      <c r="X42" s="209"/>
      <c r="AA42" t="s">
        <v>69</v>
      </c>
      <c r="AB42" s="205">
        <v>6.55</v>
      </c>
      <c r="AC42" s="205">
        <v>301</v>
      </c>
      <c r="AD42" s="205">
        <v>100.6769</v>
      </c>
      <c r="AE42" s="205">
        <v>3342.47</v>
      </c>
      <c r="AF42" s="205">
        <v>3320</v>
      </c>
      <c r="AG42" s="206">
        <v>6.7126</v>
      </c>
      <c r="AH42" s="203">
        <f t="shared" si="2"/>
        <v>6.549954391371404</v>
      </c>
      <c r="AI42" s="204">
        <f t="shared" si="3"/>
        <v>21893.026054527178</v>
      </c>
    </row>
    <row r="43" spans="1:35" ht="12.75">
      <c r="A43" t="s">
        <v>367</v>
      </c>
      <c r="B43" s="196">
        <v>7099441.786203001</v>
      </c>
      <c r="C43" s="196">
        <v>608539754.04</v>
      </c>
      <c r="D43" s="196">
        <v>99643476.554317</v>
      </c>
      <c r="E43" s="197">
        <v>987761.94</v>
      </c>
      <c r="F43" s="196" t="s">
        <v>368</v>
      </c>
      <c r="O43" s="199">
        <v>40962</v>
      </c>
      <c r="P43" s="200" t="s">
        <v>131</v>
      </c>
      <c r="Q43" s="200">
        <v>100</v>
      </c>
      <c r="R43" s="201">
        <v>8.2487</v>
      </c>
      <c r="S43" s="200">
        <v>8.5074</v>
      </c>
      <c r="T43" s="200">
        <v>750000.17</v>
      </c>
      <c r="U43" s="202">
        <v>750000.17</v>
      </c>
      <c r="V43" s="203">
        <f t="shared" si="0"/>
        <v>8.248718960594115</v>
      </c>
      <c r="W43" s="204">
        <f t="shared" si="1"/>
        <v>6186540.6227278095</v>
      </c>
      <c r="X43" s="209"/>
      <c r="AA43" t="s">
        <v>69</v>
      </c>
      <c r="AB43" s="205">
        <v>5.3901</v>
      </c>
      <c r="AC43" s="205">
        <v>1027</v>
      </c>
      <c r="AD43" s="205">
        <v>102.6298</v>
      </c>
      <c r="AE43" s="205">
        <v>153944.68</v>
      </c>
      <c r="AF43" s="205">
        <v>150000</v>
      </c>
      <c r="AG43" s="206">
        <v>5.5</v>
      </c>
      <c r="AH43" s="203">
        <f t="shared" si="2"/>
        <v>5.390069776496986</v>
      </c>
      <c r="AI43" s="204">
        <f t="shared" si="3"/>
        <v>829772.5669205</v>
      </c>
    </row>
    <row r="44" spans="1:35" ht="12.75">
      <c r="A44" t="s">
        <v>295</v>
      </c>
      <c r="B44" s="196">
        <v>39634650.04560201</v>
      </c>
      <c r="C44" s="196">
        <v>10692675354.81</v>
      </c>
      <c r="D44" s="196">
        <v>536725836.64810705</v>
      </c>
      <c r="E44" s="197">
        <v>5197859</v>
      </c>
      <c r="F44" s="196" t="s">
        <v>329</v>
      </c>
      <c r="O44" s="199">
        <v>40962</v>
      </c>
      <c r="P44" s="200" t="s">
        <v>131</v>
      </c>
      <c r="Q44" s="200">
        <v>100</v>
      </c>
      <c r="R44" s="201">
        <v>8.2487</v>
      </c>
      <c r="S44" s="200">
        <v>8.5074</v>
      </c>
      <c r="T44" s="200">
        <v>10000</v>
      </c>
      <c r="U44" s="202">
        <v>10000</v>
      </c>
      <c r="V44" s="203">
        <f t="shared" si="0"/>
        <v>8.248718960594115</v>
      </c>
      <c r="W44" s="204">
        <f t="shared" si="1"/>
        <v>82487.18960594115</v>
      </c>
      <c r="X44" s="209"/>
      <c r="AA44" t="s">
        <v>69</v>
      </c>
      <c r="AB44" s="205">
        <v>8.25</v>
      </c>
      <c r="AC44" s="205">
        <v>1080</v>
      </c>
      <c r="AD44" s="205">
        <v>100</v>
      </c>
      <c r="AE44" s="205">
        <v>4120000</v>
      </c>
      <c r="AF44" s="205">
        <v>4120000</v>
      </c>
      <c r="AG44" s="206">
        <v>8.5088</v>
      </c>
      <c r="AH44" s="203">
        <f t="shared" si="2"/>
        <v>8.250035795761956</v>
      </c>
      <c r="AI44" s="204">
        <f t="shared" si="3"/>
        <v>33990147.47853926</v>
      </c>
    </row>
    <row r="45" spans="1:35" ht="12.75">
      <c r="A45" t="s">
        <v>256</v>
      </c>
      <c r="B45" s="196">
        <v>39348752</v>
      </c>
      <c r="C45" s="196">
        <v>6267600000</v>
      </c>
      <c r="D45" s="196">
        <v>471500000</v>
      </c>
      <c r="E45" s="197">
        <v>4715000</v>
      </c>
      <c r="F45" s="196" t="s">
        <v>257</v>
      </c>
      <c r="O45" s="199"/>
      <c r="P45" s="200"/>
      <c r="Q45" s="200"/>
      <c r="R45" s="201"/>
      <c r="S45" s="200"/>
      <c r="T45" s="200"/>
      <c r="U45" s="202"/>
      <c r="V45" s="203"/>
      <c r="W45" s="204"/>
      <c r="X45" s="209"/>
      <c r="AB45" s="205"/>
      <c r="AC45" s="205"/>
      <c r="AD45" s="205"/>
      <c r="AE45" s="205"/>
      <c r="AF45" s="205"/>
      <c r="AG45" s="206"/>
      <c r="AH45" s="203"/>
      <c r="AI45" s="204"/>
    </row>
    <row r="46" spans="1:35" ht="12.75">
      <c r="A46" t="s">
        <v>111</v>
      </c>
      <c r="B46" s="196">
        <v>26956859.148976</v>
      </c>
      <c r="C46" s="196">
        <v>5892285321.589999</v>
      </c>
      <c r="D46" s="196">
        <v>438982059.95428294</v>
      </c>
      <c r="E46" s="197">
        <v>4250046.76</v>
      </c>
      <c r="F46" s="196" t="s">
        <v>296</v>
      </c>
      <c r="O46" s="199"/>
      <c r="P46" s="200"/>
      <c r="Q46" s="200"/>
      <c r="R46" s="201"/>
      <c r="S46" s="200"/>
      <c r="T46" s="200"/>
      <c r="U46" s="202"/>
      <c r="V46" s="203"/>
      <c r="W46" s="204"/>
      <c r="X46" s="209"/>
      <c r="AB46" s="205"/>
      <c r="AC46" s="205"/>
      <c r="AD46" s="205"/>
      <c r="AE46" s="205"/>
      <c r="AF46" s="205"/>
      <c r="AG46" s="206"/>
      <c r="AH46" s="203"/>
      <c r="AI46" s="204"/>
    </row>
    <row r="47" spans="1:35" ht="12.75">
      <c r="A47" t="s">
        <v>286</v>
      </c>
      <c r="B47" s="196">
        <v>28464514.537167016</v>
      </c>
      <c r="C47" s="196">
        <v>5157018642.039999</v>
      </c>
      <c r="D47" s="196">
        <v>465849568.13801175</v>
      </c>
      <c r="E47" s="197">
        <v>4541717.21</v>
      </c>
      <c r="F47" s="196" t="s">
        <v>297</v>
      </c>
      <c r="O47" s="199"/>
      <c r="P47" s="200"/>
      <c r="Q47" s="200"/>
      <c r="R47" s="201"/>
      <c r="S47" s="200"/>
      <c r="T47" s="200"/>
      <c r="U47" s="202"/>
      <c r="V47" s="203"/>
      <c r="W47" s="204"/>
      <c r="X47" s="209"/>
      <c r="AB47" s="205"/>
      <c r="AC47" s="205"/>
      <c r="AD47" s="205"/>
      <c r="AE47" s="205"/>
      <c r="AF47" s="205"/>
      <c r="AG47" s="206"/>
      <c r="AH47" s="203"/>
      <c r="AI47" s="204"/>
    </row>
    <row r="48" spans="1:35" ht="12.75">
      <c r="A48" t="s">
        <v>122</v>
      </c>
      <c r="B48" s="196">
        <v>9200528.379718998</v>
      </c>
      <c r="C48" s="196">
        <v>905401160.9999998</v>
      </c>
      <c r="D48" s="196">
        <v>188376890.480123</v>
      </c>
      <c r="E48" s="197">
        <v>1835336.85</v>
      </c>
      <c r="F48" s="196" t="s">
        <v>330</v>
      </c>
      <c r="O48" s="199"/>
      <c r="P48" s="200"/>
      <c r="Q48" s="200"/>
      <c r="R48" s="201"/>
      <c r="S48" s="200"/>
      <c r="T48" s="200"/>
      <c r="U48" s="202"/>
      <c r="V48" s="203"/>
      <c r="W48" s="204"/>
      <c r="X48" s="209"/>
      <c r="AB48" s="205"/>
      <c r="AC48" s="205"/>
      <c r="AD48" s="205"/>
      <c r="AE48" s="205"/>
      <c r="AF48" s="205"/>
      <c r="AG48" s="206"/>
      <c r="AH48" s="203"/>
      <c r="AI48" s="204"/>
    </row>
    <row r="49" spans="1:35" ht="12.75">
      <c r="A49" t="s">
        <v>369</v>
      </c>
      <c r="B49" s="196">
        <v>5852459.575959001</v>
      </c>
      <c r="C49" s="196">
        <v>612465775.58</v>
      </c>
      <c r="D49" s="196">
        <v>89796689.09925723</v>
      </c>
      <c r="E49" s="197">
        <v>893185</v>
      </c>
      <c r="F49" s="196" t="s">
        <v>370</v>
      </c>
      <c r="O49" s="199"/>
      <c r="P49" s="200"/>
      <c r="Q49" s="200"/>
      <c r="R49" s="201"/>
      <c r="S49" s="200"/>
      <c r="T49" s="200"/>
      <c r="U49" s="202"/>
      <c r="V49" s="203"/>
      <c r="W49" s="204"/>
      <c r="X49" s="209"/>
      <c r="AB49" s="205"/>
      <c r="AC49" s="205"/>
      <c r="AD49" s="205"/>
      <c r="AE49" s="205"/>
      <c r="AF49" s="205"/>
      <c r="AG49" s="206"/>
      <c r="AH49" s="203"/>
      <c r="AI49" s="204"/>
    </row>
    <row r="50" spans="1:35" ht="12.75">
      <c r="A50" t="s">
        <v>371</v>
      </c>
      <c r="B50" s="196">
        <v>412321595.88479</v>
      </c>
      <c r="C50" s="196">
        <v>119524004876.65</v>
      </c>
      <c r="D50" s="196">
        <v>4749840769.1878</v>
      </c>
      <c r="E50" s="197">
        <v>47499204.65</v>
      </c>
      <c r="F50" s="196" t="s">
        <v>372</v>
      </c>
      <c r="O50" s="199">
        <v>40952</v>
      </c>
      <c r="P50" s="200" t="s">
        <v>131</v>
      </c>
      <c r="Q50" s="200">
        <v>100</v>
      </c>
      <c r="R50" s="201">
        <v>8.25</v>
      </c>
      <c r="S50" s="200">
        <v>8.5088</v>
      </c>
      <c r="T50" s="200">
        <v>4120000</v>
      </c>
      <c r="U50" s="202">
        <v>4120000</v>
      </c>
      <c r="V50" s="203">
        <f>+((1+S50/100)^(90/360)-1)*(400)</f>
        <v>8.250035795761956</v>
      </c>
      <c r="W50" s="204">
        <f>+V50*T50</f>
        <v>33990147.47853926</v>
      </c>
      <c r="X50" s="209"/>
      <c r="AA50" t="s">
        <v>69</v>
      </c>
      <c r="AB50" s="205">
        <v>8.25</v>
      </c>
      <c r="AC50" s="205">
        <v>1080</v>
      </c>
      <c r="AD50" s="205">
        <v>100</v>
      </c>
      <c r="AE50" s="205">
        <v>40000</v>
      </c>
      <c r="AF50" s="205">
        <v>40000</v>
      </c>
      <c r="AG50" s="206">
        <v>8.5088</v>
      </c>
      <c r="AH50" s="203">
        <f>+((1+AG50/100)^(90/360)-1)*(400)</f>
        <v>8.250035795761956</v>
      </c>
      <c r="AI50" s="204">
        <f>+AH50*AE50</f>
        <v>330001.43183047825</v>
      </c>
    </row>
    <row r="51" spans="1:35" ht="12.75">
      <c r="A51" t="s">
        <v>133</v>
      </c>
      <c r="B51" s="196">
        <v>15746035.036709</v>
      </c>
      <c r="C51" s="196">
        <v>3063703879.78</v>
      </c>
      <c r="D51" s="196">
        <v>324526215.082275</v>
      </c>
      <c r="E51" s="197">
        <v>3070277.03</v>
      </c>
      <c r="F51" s="196" t="s">
        <v>298</v>
      </c>
      <c r="O51" s="199">
        <v>40952</v>
      </c>
      <c r="P51" s="200" t="s">
        <v>131</v>
      </c>
      <c r="Q51" s="200">
        <v>100</v>
      </c>
      <c r="R51" s="201">
        <v>8.25</v>
      </c>
      <c r="S51" s="200">
        <v>8.5088</v>
      </c>
      <c r="T51" s="200">
        <v>40000</v>
      </c>
      <c r="U51" s="202">
        <v>40000</v>
      </c>
      <c r="V51" s="203">
        <f>+((1+S51/100)^(90/360)-1)*(400)</f>
        <v>8.250035795761956</v>
      </c>
      <c r="W51" s="204">
        <f>+V51*T51</f>
        <v>330001.43183047825</v>
      </c>
      <c r="X51" s="209"/>
      <c r="AA51" t="s">
        <v>69</v>
      </c>
      <c r="AB51" s="205">
        <v>8.2499</v>
      </c>
      <c r="AC51" s="205">
        <v>1079</v>
      </c>
      <c r="AD51" s="205">
        <v>100</v>
      </c>
      <c r="AE51" s="205">
        <v>80000</v>
      </c>
      <c r="AF51" s="205">
        <v>80000</v>
      </c>
      <c r="AG51" s="206">
        <v>8.5086</v>
      </c>
      <c r="AH51" s="203">
        <f>+((1+AG51/100)^(90/360)-1)*(400)</f>
        <v>8.249847677232403</v>
      </c>
      <c r="AI51" s="204">
        <f>+AH51*AE51</f>
        <v>659987.8141785922</v>
      </c>
    </row>
    <row r="52" spans="1:35" ht="12.75">
      <c r="A52" t="s">
        <v>373</v>
      </c>
      <c r="B52" s="196">
        <v>3221514.298973</v>
      </c>
      <c r="C52" s="196">
        <v>402895117.48</v>
      </c>
      <c r="D52" s="196">
        <v>43441624.244799495</v>
      </c>
      <c r="E52" s="197">
        <v>433929.96</v>
      </c>
      <c r="F52" s="196" t="s">
        <v>374</v>
      </c>
      <c r="O52" s="199">
        <v>40953</v>
      </c>
      <c r="P52" s="200" t="s">
        <v>131</v>
      </c>
      <c r="Q52" s="200">
        <v>100</v>
      </c>
      <c r="R52" s="201">
        <v>8.2499</v>
      </c>
      <c r="S52" s="200">
        <v>8.5086</v>
      </c>
      <c r="T52" s="200">
        <v>80000</v>
      </c>
      <c r="U52" s="202">
        <v>80000</v>
      </c>
      <c r="V52" s="203">
        <f>+((1+S52/100)^(90/360)-1)*(400)</f>
        <v>8.249847677232403</v>
      </c>
      <c r="W52" s="204">
        <f>+V52*T52</f>
        <v>659987.8141785922</v>
      </c>
      <c r="X52" s="209"/>
      <c r="AA52" t="s">
        <v>69</v>
      </c>
      <c r="AB52" s="205">
        <v>8.4985</v>
      </c>
      <c r="AC52" s="205">
        <v>1783</v>
      </c>
      <c r="AD52" s="205">
        <v>100</v>
      </c>
      <c r="AE52" s="205">
        <v>150000</v>
      </c>
      <c r="AF52" s="205">
        <v>150000</v>
      </c>
      <c r="AG52" s="206">
        <v>8.7732</v>
      </c>
      <c r="AH52" s="203">
        <f>+((1+AG52/100)^(90/360)-1)*(400)</f>
        <v>8.498501399401182</v>
      </c>
      <c r="AI52" s="204">
        <f>+AH52*AE52</f>
        <v>1274775.2099101772</v>
      </c>
    </row>
    <row r="53" spans="1:35" ht="12.75">
      <c r="A53" t="s">
        <v>375</v>
      </c>
      <c r="B53" s="196">
        <v>133219363</v>
      </c>
      <c r="C53" s="196">
        <v>8311110000</v>
      </c>
      <c r="D53" s="196">
        <v>1990000000</v>
      </c>
      <c r="E53" s="197">
        <v>19900000</v>
      </c>
      <c r="F53" s="196" t="s">
        <v>376</v>
      </c>
      <c r="O53" s="199"/>
      <c r="P53" s="200"/>
      <c r="Q53" s="200"/>
      <c r="R53" s="201"/>
      <c r="S53" s="200"/>
      <c r="T53" s="200"/>
      <c r="U53" s="202"/>
      <c r="V53" s="203"/>
      <c r="W53" s="204"/>
      <c r="X53" s="209"/>
      <c r="AB53" s="205"/>
      <c r="AC53" s="205"/>
      <c r="AD53" s="205"/>
      <c r="AE53" s="205"/>
      <c r="AF53" s="205"/>
      <c r="AG53" s="206"/>
      <c r="AH53" s="203"/>
      <c r="AI53" s="204"/>
    </row>
    <row r="54" spans="1:35" ht="12.75">
      <c r="A54" t="s">
        <v>305</v>
      </c>
      <c r="B54" s="196">
        <v>22222936.42725201</v>
      </c>
      <c r="C54" s="196">
        <v>3496837838.6999993</v>
      </c>
      <c r="D54" s="196">
        <v>331324994.39247787</v>
      </c>
      <c r="E54" s="197">
        <v>3275529.8</v>
      </c>
      <c r="F54" s="196" t="s">
        <v>331</v>
      </c>
      <c r="O54" s="199"/>
      <c r="P54" s="200"/>
      <c r="Q54" s="200"/>
      <c r="R54" s="201"/>
      <c r="S54" s="200"/>
      <c r="T54" s="200"/>
      <c r="U54" s="202"/>
      <c r="V54" s="203"/>
      <c r="W54" s="204"/>
      <c r="X54" s="209"/>
      <c r="AB54" s="205"/>
      <c r="AC54" s="205"/>
      <c r="AD54" s="205"/>
      <c r="AE54" s="205"/>
      <c r="AF54" s="205"/>
      <c r="AG54" s="206"/>
      <c r="AH54" s="203"/>
      <c r="AI54" s="204"/>
    </row>
    <row r="55" spans="1:35" ht="12.75">
      <c r="A55" t="s">
        <v>303</v>
      </c>
      <c r="B55" s="196">
        <v>855136.9660530002</v>
      </c>
      <c r="C55" s="196">
        <v>70691875.28999999</v>
      </c>
      <c r="D55" s="196">
        <v>15379356.599316997</v>
      </c>
      <c r="E55" s="197">
        <v>151250.64</v>
      </c>
      <c r="F55" s="196" t="s">
        <v>332</v>
      </c>
      <c r="O55" s="199"/>
      <c r="P55" s="200"/>
      <c r="Q55" s="200"/>
      <c r="R55" s="201"/>
      <c r="S55" s="200"/>
      <c r="T55" s="200"/>
      <c r="U55" s="202"/>
      <c r="V55" s="203"/>
      <c r="W55" s="204"/>
      <c r="X55" s="209"/>
      <c r="AB55" s="205"/>
      <c r="AC55" s="205"/>
      <c r="AD55" s="205"/>
      <c r="AE55" s="205"/>
      <c r="AF55" s="205"/>
      <c r="AG55" s="206"/>
      <c r="AH55" s="203"/>
      <c r="AI55" s="204"/>
    </row>
    <row r="56" spans="1:35" ht="12.75">
      <c r="A56" t="s">
        <v>123</v>
      </c>
      <c r="B56" s="196">
        <v>125040320.16128704</v>
      </c>
      <c r="C56" s="196">
        <v>13224907334.019999</v>
      </c>
      <c r="D56" s="196">
        <v>1681999891.26061</v>
      </c>
      <c r="E56" s="197">
        <v>16770791.9</v>
      </c>
      <c r="F56" s="196" t="s">
        <v>282</v>
      </c>
      <c r="O56" s="199"/>
      <c r="P56" s="200"/>
      <c r="Q56" s="200"/>
      <c r="R56" s="201"/>
      <c r="S56" s="200"/>
      <c r="T56" s="200"/>
      <c r="U56" s="202"/>
      <c r="V56" s="203"/>
      <c r="W56" s="204"/>
      <c r="X56" s="209"/>
      <c r="AB56" s="205"/>
      <c r="AC56" s="205"/>
      <c r="AD56" s="205"/>
      <c r="AE56" s="205"/>
      <c r="AF56" s="205"/>
      <c r="AG56" s="206"/>
      <c r="AH56" s="203"/>
      <c r="AI56" s="204"/>
    </row>
    <row r="57" spans="1:35" ht="12.75">
      <c r="A57" t="s">
        <v>191</v>
      </c>
      <c r="B57" s="196">
        <v>4414000.654731</v>
      </c>
      <c r="C57" s="196">
        <v>385844128.38</v>
      </c>
      <c r="D57" s="196">
        <v>80477384.115515</v>
      </c>
      <c r="E57" s="197">
        <v>789059.73</v>
      </c>
      <c r="F57" s="196" t="s">
        <v>377</v>
      </c>
      <c r="O57" s="199">
        <v>40953</v>
      </c>
      <c r="P57" s="200" t="s">
        <v>131</v>
      </c>
      <c r="Q57" s="200">
        <v>99.9998</v>
      </c>
      <c r="R57" s="201">
        <v>8.25</v>
      </c>
      <c r="S57" s="200">
        <v>8.5088</v>
      </c>
      <c r="T57" s="200">
        <v>1999995.39</v>
      </c>
      <c r="U57" s="202">
        <v>1999995.39</v>
      </c>
      <c r="V57" s="203">
        <f aca="true" t="shared" si="4" ref="V57:V88">+((1+S57/100)^(90/360)-1)*(400)</f>
        <v>8.250035795761956</v>
      </c>
      <c r="W57" s="204">
        <f aca="true" t="shared" si="5" ref="W57:W88">+V57*T57</f>
        <v>16500033.558858894</v>
      </c>
      <c r="X57" s="209"/>
      <c r="AA57" t="s">
        <v>69</v>
      </c>
      <c r="AB57" s="205">
        <v>8.2482</v>
      </c>
      <c r="AC57" s="205">
        <v>1065</v>
      </c>
      <c r="AD57" s="205">
        <v>100</v>
      </c>
      <c r="AE57" s="205">
        <v>15000</v>
      </c>
      <c r="AF57" s="205">
        <v>15000</v>
      </c>
      <c r="AG57" s="206">
        <v>8.5068</v>
      </c>
      <c r="AH57" s="203">
        <f aca="true" t="shared" si="6" ref="AH57:AH88">+((1+AG57/100)^(90/360)-1)*(400)</f>
        <v>8.248154598764135</v>
      </c>
      <c r="AI57" s="204">
        <f aca="true" t="shared" si="7" ref="AI57:AI88">+AH57*AE57</f>
        <v>123722.31898146203</v>
      </c>
    </row>
    <row r="58" spans="1:35" ht="12.75">
      <c r="A58" t="s">
        <v>420</v>
      </c>
      <c r="B58" s="196">
        <v>1612830.787104</v>
      </c>
      <c r="C58" s="196">
        <v>166171179.84</v>
      </c>
      <c r="D58" s="196">
        <v>20433273.495327998</v>
      </c>
      <c r="E58" s="197">
        <v>202154.72</v>
      </c>
      <c r="F58" s="196" t="s">
        <v>421</v>
      </c>
      <c r="O58" s="199">
        <v>40953</v>
      </c>
      <c r="P58" s="200" t="s">
        <v>131</v>
      </c>
      <c r="Q58" s="200">
        <v>100</v>
      </c>
      <c r="R58" s="201">
        <v>8.2497</v>
      </c>
      <c r="S58" s="200">
        <v>8.5085</v>
      </c>
      <c r="T58" s="200">
        <v>20000</v>
      </c>
      <c r="U58" s="202">
        <v>20000</v>
      </c>
      <c r="V58" s="203">
        <f t="shared" si="4"/>
        <v>8.249753617870148</v>
      </c>
      <c r="W58" s="204">
        <f t="shared" si="5"/>
        <v>164995.07235740297</v>
      </c>
      <c r="X58" s="209"/>
      <c r="AA58" t="s">
        <v>69</v>
      </c>
      <c r="AB58" s="205">
        <v>0</v>
      </c>
      <c r="AC58" s="205">
        <v>471</v>
      </c>
      <c r="AD58" s="205">
        <v>100.0764</v>
      </c>
      <c r="AE58" s="205">
        <v>362776.95</v>
      </c>
      <c r="AF58" s="205">
        <v>362500</v>
      </c>
      <c r="AG58" s="206">
        <v>6.53</v>
      </c>
      <c r="AH58" s="203">
        <f t="shared" si="6"/>
        <v>6.375926898814299</v>
      </c>
      <c r="AI58" s="204">
        <f t="shared" si="7"/>
        <v>2313039.31377481</v>
      </c>
    </row>
    <row r="59" spans="1:35" ht="12.75">
      <c r="A59" t="s">
        <v>378</v>
      </c>
      <c r="B59" s="196">
        <v>7011695.032455</v>
      </c>
      <c r="C59" s="196">
        <v>535003572.95</v>
      </c>
      <c r="D59" s="196">
        <v>125064502.65127376</v>
      </c>
      <c r="E59" s="197">
        <v>1236311.55</v>
      </c>
      <c r="F59" s="196" t="s">
        <v>379</v>
      </c>
      <c r="O59" s="199">
        <v>41010</v>
      </c>
      <c r="P59" s="200" t="s">
        <v>183</v>
      </c>
      <c r="Q59" s="200">
        <v>105.7995</v>
      </c>
      <c r="R59" s="201">
        <v>5.294</v>
      </c>
      <c r="S59" s="200">
        <v>5.4</v>
      </c>
      <c r="T59" s="200">
        <v>33855.84</v>
      </c>
      <c r="U59" s="202">
        <v>33855.84</v>
      </c>
      <c r="V59" s="203">
        <f t="shared" si="4"/>
        <v>5.293971614056492</v>
      </c>
      <c r="W59" s="204">
        <f t="shared" si="5"/>
        <v>179231.85593003832</v>
      </c>
      <c r="X59" s="209"/>
      <c r="AA59" t="s">
        <v>69</v>
      </c>
      <c r="AB59" s="205">
        <v>8.2475</v>
      </c>
      <c r="AC59" s="205">
        <v>1058</v>
      </c>
      <c r="AD59" s="205">
        <v>100</v>
      </c>
      <c r="AE59" s="205">
        <v>65000</v>
      </c>
      <c r="AF59" s="205">
        <v>65000</v>
      </c>
      <c r="AG59" s="206">
        <v>8.5062</v>
      </c>
      <c r="AH59" s="203">
        <f t="shared" si="6"/>
        <v>8.247590234593627</v>
      </c>
      <c r="AI59" s="204">
        <f t="shared" si="7"/>
        <v>536093.3652485857</v>
      </c>
    </row>
    <row r="60" spans="1:35" ht="12.75">
      <c r="A60" t="s">
        <v>318</v>
      </c>
      <c r="B60" s="196">
        <v>2304201.417728</v>
      </c>
      <c r="C60" s="196">
        <v>244586597.49999997</v>
      </c>
      <c r="D60" s="196">
        <v>28213525.242066</v>
      </c>
      <c r="E60" s="197">
        <v>279527.54</v>
      </c>
      <c r="F60" s="196" t="s">
        <v>380</v>
      </c>
      <c r="O60" s="199">
        <v>40945</v>
      </c>
      <c r="P60" s="200" t="s">
        <v>132</v>
      </c>
      <c r="Q60" s="200">
        <v>99.9961</v>
      </c>
      <c r="R60" s="201">
        <v>7.5</v>
      </c>
      <c r="S60" s="200">
        <v>7.7136</v>
      </c>
      <c r="T60" s="200">
        <v>73330.5</v>
      </c>
      <c r="U60" s="202">
        <v>73330.5</v>
      </c>
      <c r="V60" s="203">
        <f t="shared" si="4"/>
        <v>7.500012694114311</v>
      </c>
      <c r="W60" s="204">
        <f t="shared" si="5"/>
        <v>549979.6808657495</v>
      </c>
      <c r="X60" s="209"/>
      <c r="AA60" t="s">
        <v>69</v>
      </c>
      <c r="AB60" s="205">
        <v>8.2475</v>
      </c>
      <c r="AC60" s="205">
        <v>1058</v>
      </c>
      <c r="AD60" s="205">
        <v>100</v>
      </c>
      <c r="AE60" s="205">
        <v>20000</v>
      </c>
      <c r="AF60" s="205">
        <v>20000</v>
      </c>
      <c r="AG60" s="206">
        <v>8.5062</v>
      </c>
      <c r="AH60" s="203">
        <f t="shared" si="6"/>
        <v>8.247590234593627</v>
      </c>
      <c r="AI60" s="204">
        <f t="shared" si="7"/>
        <v>164951.80469187253</v>
      </c>
    </row>
    <row r="61" spans="1:35" ht="12.75">
      <c r="A61" t="s">
        <v>277</v>
      </c>
      <c r="B61" s="196">
        <v>126565226.63408</v>
      </c>
      <c r="C61" s="196">
        <v>24459276611.96</v>
      </c>
      <c r="D61" s="196">
        <v>1510894025.0594819</v>
      </c>
      <c r="E61" s="197">
        <v>15108970.049999999</v>
      </c>
      <c r="F61" s="196" t="s">
        <v>278</v>
      </c>
      <c r="O61" s="199">
        <v>40946</v>
      </c>
      <c r="P61" s="200" t="s">
        <v>132</v>
      </c>
      <c r="Q61" s="200">
        <v>99.9998</v>
      </c>
      <c r="R61" s="201">
        <v>0</v>
      </c>
      <c r="S61" s="200">
        <v>7.7136</v>
      </c>
      <c r="T61" s="200">
        <v>833.33</v>
      </c>
      <c r="U61" s="202">
        <v>833.33</v>
      </c>
      <c r="V61" s="203">
        <f t="shared" si="4"/>
        <v>7.500012694114311</v>
      </c>
      <c r="W61" s="204">
        <f t="shared" si="5"/>
        <v>6249.985578386279</v>
      </c>
      <c r="X61" s="204">
        <f>+SUM(W60:W61)/SUM(T60:T61)</f>
        <v>7.50001269411431</v>
      </c>
      <c r="Y61" s="204">
        <f>+SUM(W60:W61)</f>
        <v>556229.6664441357</v>
      </c>
      <c r="AA61" t="s">
        <v>69</v>
      </c>
      <c r="AB61" s="205">
        <v>8.498</v>
      </c>
      <c r="AC61" s="205">
        <v>1775</v>
      </c>
      <c r="AD61" s="205">
        <v>100</v>
      </c>
      <c r="AE61" s="205">
        <v>400000</v>
      </c>
      <c r="AF61" s="205">
        <v>400000</v>
      </c>
      <c r="AG61" s="206">
        <v>8.7727</v>
      </c>
      <c r="AH61" s="203">
        <f t="shared" si="6"/>
        <v>8.498031960231511</v>
      </c>
      <c r="AI61" s="204">
        <f t="shared" si="7"/>
        <v>3399212.7840926046</v>
      </c>
    </row>
    <row r="62" spans="1:35" ht="12.75">
      <c r="A62" t="s">
        <v>381</v>
      </c>
      <c r="B62" s="196">
        <v>3279083.963338</v>
      </c>
      <c r="C62" s="196">
        <v>727496607.9199998</v>
      </c>
      <c r="D62" s="196">
        <v>65973772.143742844</v>
      </c>
      <c r="E62" s="197">
        <v>659010.77</v>
      </c>
      <c r="F62" s="196" t="s">
        <v>382</v>
      </c>
      <c r="O62" s="199">
        <v>40939</v>
      </c>
      <c r="P62" s="200" t="s">
        <v>102</v>
      </c>
      <c r="Q62" s="200">
        <v>104.7541</v>
      </c>
      <c r="R62" s="201">
        <v>5.5821</v>
      </c>
      <c r="S62" s="200">
        <v>5.7</v>
      </c>
      <c r="T62" s="200">
        <v>254203.34</v>
      </c>
      <c r="U62" s="202">
        <v>254203.34</v>
      </c>
      <c r="V62" s="203">
        <f t="shared" si="4"/>
        <v>5.58206133861292</v>
      </c>
      <c r="W62" s="204">
        <f t="shared" si="5"/>
        <v>1418978.6363602753</v>
      </c>
      <c r="X62" s="209"/>
      <c r="AA62" t="s">
        <v>69</v>
      </c>
      <c r="AB62" s="205">
        <v>8.247</v>
      </c>
      <c r="AC62" s="205">
        <v>1049</v>
      </c>
      <c r="AD62" s="205">
        <v>100</v>
      </c>
      <c r="AE62" s="205">
        <v>40000</v>
      </c>
      <c r="AF62" s="205">
        <v>40000</v>
      </c>
      <c r="AG62" s="206">
        <v>8.5055</v>
      </c>
      <c r="AH62" s="203">
        <f t="shared" si="6"/>
        <v>8.246931806769897</v>
      </c>
      <c r="AI62" s="204">
        <f t="shared" si="7"/>
        <v>329877.2722707959</v>
      </c>
    </row>
    <row r="63" spans="1:35" ht="12.75">
      <c r="A63" t="s">
        <v>319</v>
      </c>
      <c r="B63" s="196">
        <v>3794706.547069</v>
      </c>
      <c r="C63" s="196">
        <v>187963167.63</v>
      </c>
      <c r="D63" s="196">
        <v>55444620.486893</v>
      </c>
      <c r="E63" s="197">
        <v>552215.55</v>
      </c>
      <c r="F63" s="196" t="s">
        <v>383</v>
      </c>
      <c r="O63" s="199">
        <v>40939</v>
      </c>
      <c r="P63" s="200" t="s">
        <v>102</v>
      </c>
      <c r="Q63" s="200">
        <v>104.7541</v>
      </c>
      <c r="R63" s="201">
        <v>5.5821</v>
      </c>
      <c r="S63" s="200">
        <v>5.7</v>
      </c>
      <c r="T63" s="200">
        <v>222427.92</v>
      </c>
      <c r="U63" s="202">
        <v>222427.92</v>
      </c>
      <c r="V63" s="203">
        <f t="shared" si="4"/>
        <v>5.58206133861292</v>
      </c>
      <c r="W63" s="204">
        <f t="shared" si="5"/>
        <v>1241606.2928600877</v>
      </c>
      <c r="X63" s="209"/>
      <c r="AA63" t="s">
        <v>69</v>
      </c>
      <c r="AB63" s="205">
        <v>8.2469</v>
      </c>
      <c r="AC63" s="205">
        <v>1048</v>
      </c>
      <c r="AD63" s="205">
        <v>100</v>
      </c>
      <c r="AE63" s="205">
        <v>280000</v>
      </c>
      <c r="AF63" s="205">
        <v>280000</v>
      </c>
      <c r="AG63" s="206">
        <v>8.5055</v>
      </c>
      <c r="AH63" s="203">
        <f t="shared" si="6"/>
        <v>8.246931806769897</v>
      </c>
      <c r="AI63" s="204">
        <f t="shared" si="7"/>
        <v>2309140.905895571</v>
      </c>
    </row>
    <row r="64" spans="1:35" ht="12.75">
      <c r="A64" t="s">
        <v>304</v>
      </c>
      <c r="B64" s="196">
        <v>22259017.035033997</v>
      </c>
      <c r="C64" s="196">
        <v>3759911186.4900002</v>
      </c>
      <c r="D64" s="196">
        <v>389557226.395363</v>
      </c>
      <c r="E64" s="197">
        <v>3769401.24</v>
      </c>
      <c r="F64" s="196" t="s">
        <v>315</v>
      </c>
      <c r="O64" s="199">
        <v>41019</v>
      </c>
      <c r="P64" s="200" t="s">
        <v>102</v>
      </c>
      <c r="Q64" s="200">
        <v>100.6899</v>
      </c>
      <c r="R64" s="201">
        <v>8</v>
      </c>
      <c r="S64" s="200">
        <v>8.2432</v>
      </c>
      <c r="T64" s="200">
        <v>87264.62</v>
      </c>
      <c r="U64" s="202">
        <v>87264.62</v>
      </c>
      <c r="V64" s="203">
        <f t="shared" si="4"/>
        <v>7.9999849228418185</v>
      </c>
      <c r="W64" s="204">
        <f t="shared" si="5"/>
        <v>698115.6442975206</v>
      </c>
      <c r="X64" s="209"/>
      <c r="AA64" t="s">
        <v>69</v>
      </c>
      <c r="AB64" s="205">
        <v>8.2469</v>
      </c>
      <c r="AC64" s="205">
        <v>1047</v>
      </c>
      <c r="AD64" s="205">
        <v>100</v>
      </c>
      <c r="AE64" s="205">
        <v>590000</v>
      </c>
      <c r="AF64" s="205">
        <v>590000</v>
      </c>
      <c r="AG64" s="206">
        <v>8.5054</v>
      </c>
      <c r="AH64" s="203">
        <f t="shared" si="6"/>
        <v>8.246837745392188</v>
      </c>
      <c r="AI64" s="204">
        <f t="shared" si="7"/>
        <v>4865634.269781391</v>
      </c>
    </row>
    <row r="65" spans="1:35" ht="12.75">
      <c r="A65" t="s">
        <v>134</v>
      </c>
      <c r="B65" s="196">
        <v>25912683.10914399</v>
      </c>
      <c r="C65" s="196">
        <v>6915456282.97</v>
      </c>
      <c r="D65" s="196">
        <v>396628600.0833371</v>
      </c>
      <c r="E65" s="197">
        <v>3892961.98</v>
      </c>
      <c r="F65" s="196" t="s">
        <v>299</v>
      </c>
      <c r="O65" s="199">
        <v>41023</v>
      </c>
      <c r="P65" s="200" t="s">
        <v>102</v>
      </c>
      <c r="Q65" s="200">
        <v>105.2716</v>
      </c>
      <c r="R65" s="201">
        <v>4.8125</v>
      </c>
      <c r="S65" s="200">
        <v>4.9</v>
      </c>
      <c r="T65" s="200">
        <v>456177.15</v>
      </c>
      <c r="U65" s="202">
        <v>456177.15</v>
      </c>
      <c r="V65" s="203">
        <f t="shared" si="4"/>
        <v>4.812452441977033</v>
      </c>
      <c r="W65" s="204">
        <f t="shared" si="5"/>
        <v>2195330.8394916235</v>
      </c>
      <c r="X65" s="209"/>
      <c r="AA65" t="s">
        <v>69</v>
      </c>
      <c r="AB65" s="205">
        <v>8.2469</v>
      </c>
      <c r="AC65" s="205">
        <v>1047</v>
      </c>
      <c r="AD65" s="205">
        <v>100</v>
      </c>
      <c r="AE65" s="205">
        <v>40000</v>
      </c>
      <c r="AF65" s="205">
        <v>40000</v>
      </c>
      <c r="AG65" s="206">
        <v>8.5054</v>
      </c>
      <c r="AH65" s="203">
        <f t="shared" si="6"/>
        <v>8.246837745392188</v>
      </c>
      <c r="AI65" s="204">
        <f t="shared" si="7"/>
        <v>329873.50981568755</v>
      </c>
    </row>
    <row r="66" spans="1:35" ht="12.75">
      <c r="A66" t="s">
        <v>103</v>
      </c>
      <c r="B66" s="196">
        <v>35411546.411664</v>
      </c>
      <c r="C66" s="196">
        <v>5224884335.479999</v>
      </c>
      <c r="D66" s="196">
        <v>554937368.0191398</v>
      </c>
      <c r="E66" s="197">
        <v>5371973.39</v>
      </c>
      <c r="F66" s="196" t="s">
        <v>316</v>
      </c>
      <c r="O66" s="199">
        <v>40954</v>
      </c>
      <c r="P66" s="200" t="s">
        <v>117</v>
      </c>
      <c r="Q66" s="200">
        <v>100</v>
      </c>
      <c r="R66" s="201">
        <v>7.9986</v>
      </c>
      <c r="S66" s="200">
        <v>8.2417</v>
      </c>
      <c r="T66" s="200">
        <v>100000</v>
      </c>
      <c r="U66" s="202">
        <v>100000</v>
      </c>
      <c r="V66" s="203">
        <f t="shared" si="4"/>
        <v>7.998571431837842</v>
      </c>
      <c r="W66" s="204">
        <f t="shared" si="5"/>
        <v>799857.1431837842</v>
      </c>
      <c r="X66" s="209"/>
      <c r="AA66" t="s">
        <v>69</v>
      </c>
      <c r="AB66" s="205">
        <v>8.2467</v>
      </c>
      <c r="AC66" s="205">
        <v>1044</v>
      </c>
      <c r="AD66" s="205">
        <v>100</v>
      </c>
      <c r="AE66" s="205">
        <v>100000</v>
      </c>
      <c r="AF66" s="205">
        <v>100000</v>
      </c>
      <c r="AG66" s="206">
        <v>8.5053</v>
      </c>
      <c r="AH66" s="203">
        <f t="shared" si="6"/>
        <v>8.246743683949465</v>
      </c>
      <c r="AI66" s="204">
        <f t="shared" si="7"/>
        <v>824674.3683949464</v>
      </c>
    </row>
    <row r="67" spans="1:35" ht="12.75">
      <c r="A67" t="s">
        <v>300</v>
      </c>
      <c r="B67" s="196">
        <v>6400006.1495240005</v>
      </c>
      <c r="C67" s="196">
        <v>581958714.05</v>
      </c>
      <c r="D67" s="196">
        <v>159335100.167496</v>
      </c>
      <c r="E67" s="197">
        <v>1554418.5</v>
      </c>
      <c r="F67" s="196" t="s">
        <v>333</v>
      </c>
      <c r="O67" s="199">
        <v>40989</v>
      </c>
      <c r="P67" s="200" t="s">
        <v>117</v>
      </c>
      <c r="Q67" s="200">
        <v>100</v>
      </c>
      <c r="R67" s="201">
        <v>7.998</v>
      </c>
      <c r="S67" s="200">
        <v>8.2411</v>
      </c>
      <c r="T67" s="200">
        <v>99366.74</v>
      </c>
      <c r="U67" s="202">
        <v>99366.74</v>
      </c>
      <c r="V67" s="203">
        <f t="shared" si="4"/>
        <v>7.998006031322813</v>
      </c>
      <c r="W67" s="204">
        <f t="shared" si="5"/>
        <v>794735.7858328859</v>
      </c>
      <c r="X67" s="209"/>
      <c r="AA67" t="s">
        <v>69</v>
      </c>
      <c r="AB67" s="205">
        <v>5</v>
      </c>
      <c r="AC67" s="205">
        <v>310</v>
      </c>
      <c r="AD67" s="205">
        <v>101.4232</v>
      </c>
      <c r="AE67" s="205">
        <v>45640.44</v>
      </c>
      <c r="AF67" s="205">
        <v>45000</v>
      </c>
      <c r="AG67" s="206">
        <v>5.0945</v>
      </c>
      <c r="AH67" s="203">
        <f t="shared" si="6"/>
        <v>4.9999675410777655</v>
      </c>
      <c r="AI67" s="204">
        <f t="shared" si="7"/>
        <v>228200.71856050732</v>
      </c>
    </row>
    <row r="68" spans="1:35" ht="12.75">
      <c r="A68" t="s">
        <v>384</v>
      </c>
      <c r="B68" s="196">
        <v>763696.4834270001</v>
      </c>
      <c r="C68" s="196">
        <v>27263790.269999996</v>
      </c>
      <c r="D68" s="196">
        <v>9287052.357308</v>
      </c>
      <c r="E68" s="197">
        <v>92365.61</v>
      </c>
      <c r="F68" s="196" t="s">
        <v>385</v>
      </c>
      <c r="O68" s="199">
        <v>40988</v>
      </c>
      <c r="P68" s="200" t="s">
        <v>117</v>
      </c>
      <c r="Q68" s="200">
        <v>100</v>
      </c>
      <c r="R68" s="201">
        <v>7.9981</v>
      </c>
      <c r="S68" s="200">
        <v>8.2412</v>
      </c>
      <c r="T68" s="200">
        <v>709762.41</v>
      </c>
      <c r="U68" s="202">
        <v>709762.41</v>
      </c>
      <c r="V68" s="203">
        <f t="shared" si="4"/>
        <v>7.998100264905261</v>
      </c>
      <c r="W68" s="204">
        <f t="shared" si="5"/>
        <v>5676750.919440797</v>
      </c>
      <c r="X68" s="209"/>
      <c r="AA68" t="s">
        <v>69</v>
      </c>
      <c r="AB68" s="205">
        <v>7.75</v>
      </c>
      <c r="AC68" s="205">
        <v>1297</v>
      </c>
      <c r="AD68" s="205">
        <v>99.9955</v>
      </c>
      <c r="AE68" s="205">
        <v>19999.1</v>
      </c>
      <c r="AF68" s="205">
        <v>20000</v>
      </c>
      <c r="AG68" s="206">
        <v>7.9782</v>
      </c>
      <c r="AH68" s="203">
        <f t="shared" si="6"/>
        <v>7.750039891905658</v>
      </c>
      <c r="AI68" s="204">
        <f t="shared" si="7"/>
        <v>154993.82280221043</v>
      </c>
    </row>
    <row r="69" spans="1:35" ht="12.75">
      <c r="A69" t="s">
        <v>196</v>
      </c>
      <c r="B69" s="196">
        <v>622568.8467900001</v>
      </c>
      <c r="C69" s="196">
        <v>4045090.5</v>
      </c>
      <c r="D69" s="196">
        <v>7363057.595850001</v>
      </c>
      <c r="E69" s="197">
        <v>73547.1</v>
      </c>
      <c r="F69" s="196" t="s">
        <v>386</v>
      </c>
      <c r="O69" s="199">
        <v>40933</v>
      </c>
      <c r="P69" s="200" t="s">
        <v>117</v>
      </c>
      <c r="Q69" s="200">
        <v>99.9953</v>
      </c>
      <c r="R69" s="201">
        <v>8</v>
      </c>
      <c r="S69" s="200">
        <v>8.2432</v>
      </c>
      <c r="T69" s="200">
        <v>1499930.11</v>
      </c>
      <c r="U69" s="202">
        <v>1499930.11</v>
      </c>
      <c r="V69" s="203">
        <f t="shared" si="4"/>
        <v>7.9999849228418185</v>
      </c>
      <c r="W69" s="204">
        <f t="shared" si="5"/>
        <v>11999418.265316471</v>
      </c>
      <c r="X69" s="209"/>
      <c r="AA69" t="s">
        <v>69</v>
      </c>
      <c r="AB69" s="205">
        <v>6.8234</v>
      </c>
      <c r="AC69" s="205">
        <v>1680</v>
      </c>
      <c r="AD69" s="205">
        <v>102.0606</v>
      </c>
      <c r="AE69" s="205">
        <v>20412.12</v>
      </c>
      <c r="AF69" s="205">
        <v>20000</v>
      </c>
      <c r="AG69" s="206">
        <v>7</v>
      </c>
      <c r="AH69" s="203">
        <f t="shared" si="6"/>
        <v>6.82341000072455</v>
      </c>
      <c r="AI69" s="204">
        <f t="shared" si="7"/>
        <v>139280.2637439896</v>
      </c>
    </row>
    <row r="70" spans="1:35" ht="12.75">
      <c r="A70" t="s">
        <v>124</v>
      </c>
      <c r="B70" s="196">
        <v>129187092.899676</v>
      </c>
      <c r="C70" s="196">
        <v>35972507969.520004</v>
      </c>
      <c r="D70" s="196">
        <v>1449128163.932372</v>
      </c>
      <c r="E70" s="197">
        <v>14741462</v>
      </c>
      <c r="F70" s="196" t="s">
        <v>387</v>
      </c>
      <c r="O70" s="199">
        <v>40920</v>
      </c>
      <c r="P70" s="200" t="s">
        <v>117</v>
      </c>
      <c r="Q70" s="200">
        <v>99.9951</v>
      </c>
      <c r="R70" s="201">
        <v>8</v>
      </c>
      <c r="S70" s="200">
        <v>8.2432</v>
      </c>
      <c r="T70" s="200">
        <v>2999853</v>
      </c>
      <c r="U70" s="202">
        <v>2999853</v>
      </c>
      <c r="V70" s="203">
        <f t="shared" si="4"/>
        <v>7.9999849228418185</v>
      </c>
      <c r="W70" s="204">
        <f t="shared" si="5"/>
        <v>23998778.770741798</v>
      </c>
      <c r="X70" s="209"/>
      <c r="AA70" t="s">
        <v>69</v>
      </c>
      <c r="AB70" s="205">
        <v>8.4989</v>
      </c>
      <c r="AC70" s="205">
        <v>1789</v>
      </c>
      <c r="AD70" s="205">
        <v>100</v>
      </c>
      <c r="AE70" s="205">
        <v>175000</v>
      </c>
      <c r="AF70" s="205">
        <v>175000</v>
      </c>
      <c r="AG70" s="206">
        <v>8.7737</v>
      </c>
      <c r="AH70" s="203">
        <f t="shared" si="6"/>
        <v>8.498970836952502</v>
      </c>
      <c r="AI70" s="204">
        <f t="shared" si="7"/>
        <v>1487319.8964666878</v>
      </c>
    </row>
    <row r="71" spans="1:35" ht="12.75">
      <c r="A71" t="s">
        <v>334</v>
      </c>
      <c r="B71" s="196">
        <v>307585.08</v>
      </c>
      <c r="C71" s="196">
        <v>45278333.1</v>
      </c>
      <c r="D71" s="196">
        <v>4546740.7458</v>
      </c>
      <c r="E71" s="197">
        <v>45233.1</v>
      </c>
      <c r="F71" s="196" t="s">
        <v>335</v>
      </c>
      <c r="O71" s="199">
        <v>40918</v>
      </c>
      <c r="P71" s="200" t="s">
        <v>117</v>
      </c>
      <c r="Q71" s="200">
        <v>100</v>
      </c>
      <c r="R71" s="201">
        <v>7.9971</v>
      </c>
      <c r="S71" s="200">
        <v>8.2401</v>
      </c>
      <c r="T71" s="200">
        <v>10000</v>
      </c>
      <c r="U71" s="202">
        <v>10000</v>
      </c>
      <c r="V71" s="203">
        <f t="shared" si="4"/>
        <v>7.997063691907513</v>
      </c>
      <c r="W71" s="204">
        <f t="shared" si="5"/>
        <v>79970.63691907513</v>
      </c>
      <c r="X71" s="209"/>
      <c r="AA71" t="s">
        <v>69</v>
      </c>
      <c r="AB71" s="205">
        <v>5.6012</v>
      </c>
      <c r="AC71" s="205">
        <v>1040</v>
      </c>
      <c r="AD71" s="205">
        <v>102.3856</v>
      </c>
      <c r="AE71" s="205">
        <v>153578.4</v>
      </c>
      <c r="AF71" s="205">
        <v>150000</v>
      </c>
      <c r="AG71" s="206">
        <v>5.72</v>
      </c>
      <c r="AH71" s="203">
        <f t="shared" si="6"/>
        <v>5.601245505416319</v>
      </c>
      <c r="AI71" s="204">
        <f t="shared" si="7"/>
        <v>860230.3227290296</v>
      </c>
    </row>
    <row r="72" spans="1:35" ht="12.75">
      <c r="A72" t="s">
        <v>306</v>
      </c>
      <c r="B72" s="196">
        <v>1929795.7970339998</v>
      </c>
      <c r="C72" s="196">
        <v>96278942.13000001</v>
      </c>
      <c r="D72" s="196">
        <v>41147857.6505634</v>
      </c>
      <c r="E72" s="197">
        <v>406782.74</v>
      </c>
      <c r="F72" s="196" t="s">
        <v>336</v>
      </c>
      <c r="O72" s="199">
        <v>41009</v>
      </c>
      <c r="P72" s="200" t="s">
        <v>117</v>
      </c>
      <c r="Q72" s="200">
        <v>99.9951</v>
      </c>
      <c r="R72" s="201">
        <v>8</v>
      </c>
      <c r="S72" s="200">
        <v>8.2432</v>
      </c>
      <c r="T72" s="200">
        <v>1892606.82</v>
      </c>
      <c r="U72" s="202">
        <v>1892606.82</v>
      </c>
      <c r="V72" s="203">
        <f t="shared" si="4"/>
        <v>7.9999849228418185</v>
      </c>
      <c r="W72" s="204">
        <f t="shared" si="5"/>
        <v>15140826.0248676</v>
      </c>
      <c r="X72" s="209"/>
      <c r="AA72" t="s">
        <v>69</v>
      </c>
      <c r="AB72" s="205">
        <v>5.6012</v>
      </c>
      <c r="AC72" s="205">
        <v>1040</v>
      </c>
      <c r="AD72" s="205">
        <v>102.3856</v>
      </c>
      <c r="AE72" s="205">
        <v>184294.08</v>
      </c>
      <c r="AF72" s="205">
        <v>180000</v>
      </c>
      <c r="AG72" s="206">
        <v>5.72</v>
      </c>
      <c r="AH72" s="203">
        <f t="shared" si="6"/>
        <v>5.601245505416319</v>
      </c>
      <c r="AI72" s="204">
        <f t="shared" si="7"/>
        <v>1032276.3872748355</v>
      </c>
    </row>
    <row r="73" spans="1:35" ht="12.75">
      <c r="A73" t="s">
        <v>192</v>
      </c>
      <c r="B73" s="196">
        <v>5871227.274295</v>
      </c>
      <c r="C73" s="196">
        <v>366159928.04999995</v>
      </c>
      <c r="D73" s="196">
        <v>70673104.867733</v>
      </c>
      <c r="E73" s="197">
        <v>709244.15</v>
      </c>
      <c r="F73" s="196" t="s">
        <v>283</v>
      </c>
      <c r="O73" s="199">
        <v>40940</v>
      </c>
      <c r="P73" s="200" t="s">
        <v>119</v>
      </c>
      <c r="Q73" s="200">
        <v>99.9965</v>
      </c>
      <c r="R73" s="201">
        <v>8</v>
      </c>
      <c r="S73" s="200">
        <v>8.2432</v>
      </c>
      <c r="T73" s="200">
        <v>26999.05</v>
      </c>
      <c r="U73" s="202">
        <v>26999.05</v>
      </c>
      <c r="V73" s="203">
        <f t="shared" si="4"/>
        <v>7.9999849228418185</v>
      </c>
      <c r="W73" s="204">
        <f t="shared" si="5"/>
        <v>215991.9929310524</v>
      </c>
      <c r="X73" s="209"/>
      <c r="AA73" t="s">
        <v>69</v>
      </c>
      <c r="AB73" s="205">
        <v>8.4989</v>
      </c>
      <c r="AC73" s="205">
        <v>1789</v>
      </c>
      <c r="AD73" s="205">
        <v>100</v>
      </c>
      <c r="AE73" s="205">
        <v>500000</v>
      </c>
      <c r="AF73" s="205">
        <v>500000</v>
      </c>
      <c r="AG73" s="206">
        <v>8.7737</v>
      </c>
      <c r="AH73" s="203">
        <f t="shared" si="6"/>
        <v>8.498970836952502</v>
      </c>
      <c r="AI73" s="204">
        <f t="shared" si="7"/>
        <v>4249485.418476251</v>
      </c>
    </row>
    <row r="74" spans="1:35" ht="12.75">
      <c r="A74" t="s">
        <v>112</v>
      </c>
      <c r="B74" s="196">
        <v>82969115.127864</v>
      </c>
      <c r="C74" s="196">
        <v>13451258054.43</v>
      </c>
      <c r="D74" s="196">
        <v>1252769232.636076</v>
      </c>
      <c r="E74" s="197">
        <v>12549149.58</v>
      </c>
      <c r="F74" s="196" t="s">
        <v>337</v>
      </c>
      <c r="O74" s="199">
        <v>40940</v>
      </c>
      <c r="P74" s="200" t="s">
        <v>119</v>
      </c>
      <c r="Q74" s="200">
        <v>99.9965</v>
      </c>
      <c r="R74" s="201">
        <v>8</v>
      </c>
      <c r="S74" s="200">
        <v>8.2432</v>
      </c>
      <c r="T74" s="200">
        <v>99996.46</v>
      </c>
      <c r="U74" s="202">
        <v>99996.46</v>
      </c>
      <c r="V74" s="203">
        <f t="shared" si="4"/>
        <v>7.9999849228418185</v>
      </c>
      <c r="W74" s="204">
        <f t="shared" si="5"/>
        <v>799970.1723375551</v>
      </c>
      <c r="X74" s="209"/>
      <c r="AA74" t="s">
        <v>69</v>
      </c>
      <c r="AB74" s="205">
        <v>5.5821</v>
      </c>
      <c r="AC74" s="205">
        <v>1168</v>
      </c>
      <c r="AD74" s="205">
        <v>104.7541</v>
      </c>
      <c r="AE74" s="205">
        <v>254203.34</v>
      </c>
      <c r="AF74" s="205">
        <v>242666.67</v>
      </c>
      <c r="AG74" s="206">
        <v>5.7</v>
      </c>
      <c r="AH74" s="203">
        <f t="shared" si="6"/>
        <v>5.58206133861292</v>
      </c>
      <c r="AI74" s="204">
        <f t="shared" si="7"/>
        <v>1418978.6363602753</v>
      </c>
    </row>
    <row r="75" spans="1:35" ht="12.75">
      <c r="A75" t="s">
        <v>135</v>
      </c>
      <c r="B75" s="196">
        <v>1521636.598178</v>
      </c>
      <c r="C75" s="196">
        <v>129620746.97999999</v>
      </c>
      <c r="D75" s="196">
        <v>22280398.891588</v>
      </c>
      <c r="E75" s="197">
        <v>222651.94</v>
      </c>
      <c r="F75" s="196" t="s">
        <v>388</v>
      </c>
      <c r="O75" s="199">
        <v>40939</v>
      </c>
      <c r="P75" s="200" t="s">
        <v>119</v>
      </c>
      <c r="Q75" s="200">
        <v>99.9956</v>
      </c>
      <c r="R75" s="201">
        <v>7.75</v>
      </c>
      <c r="S75" s="200">
        <v>7.9782</v>
      </c>
      <c r="T75" s="200">
        <v>199991.27</v>
      </c>
      <c r="U75" s="202">
        <v>199991.27</v>
      </c>
      <c r="V75" s="203">
        <f t="shared" si="4"/>
        <v>7.750039891905658</v>
      </c>
      <c r="W75" s="204">
        <f t="shared" si="5"/>
        <v>1549940.3205328751</v>
      </c>
      <c r="X75" s="209"/>
      <c r="AA75" t="s">
        <v>69</v>
      </c>
      <c r="AB75" s="205">
        <v>7.4563</v>
      </c>
      <c r="AC75" s="205">
        <v>323</v>
      </c>
      <c r="AD75" s="205">
        <v>100.27</v>
      </c>
      <c r="AE75" s="205">
        <v>39755.05</v>
      </c>
      <c r="AF75" s="205">
        <v>39648</v>
      </c>
      <c r="AG75" s="206">
        <v>7.6674</v>
      </c>
      <c r="AH75" s="203">
        <f t="shared" si="6"/>
        <v>7.456309927103177</v>
      </c>
      <c r="AI75" s="204">
        <f t="shared" si="7"/>
        <v>296425.9739674832</v>
      </c>
    </row>
    <row r="76" spans="1:35" ht="12.75">
      <c r="A76" t="s">
        <v>320</v>
      </c>
      <c r="B76" s="196">
        <v>3737295.970002</v>
      </c>
      <c r="C76" s="196">
        <v>215768143.53</v>
      </c>
      <c r="D76" s="196">
        <v>85546003.1068823</v>
      </c>
      <c r="E76" s="197">
        <v>841413.54</v>
      </c>
      <c r="F76" s="196" t="s">
        <v>338</v>
      </c>
      <c r="O76" s="199">
        <v>40942</v>
      </c>
      <c r="P76" s="200" t="s">
        <v>119</v>
      </c>
      <c r="Q76" s="200">
        <v>99.9962</v>
      </c>
      <c r="R76" s="201">
        <v>8</v>
      </c>
      <c r="S76" s="200">
        <v>8.2432</v>
      </c>
      <c r="T76" s="200">
        <v>99996.24</v>
      </c>
      <c r="U76" s="202">
        <v>99996.24</v>
      </c>
      <c r="V76" s="203">
        <f t="shared" si="4"/>
        <v>7.9999849228418185</v>
      </c>
      <c r="W76" s="204">
        <f t="shared" si="5"/>
        <v>799968.412340872</v>
      </c>
      <c r="X76" s="209"/>
      <c r="AA76" t="s">
        <v>69</v>
      </c>
      <c r="AB76" s="205">
        <v>5.5821</v>
      </c>
      <c r="AC76" s="205">
        <v>1168</v>
      </c>
      <c r="AD76" s="205">
        <v>104.7541</v>
      </c>
      <c r="AE76" s="205">
        <v>222427.92</v>
      </c>
      <c r="AF76" s="205">
        <v>212333.33</v>
      </c>
      <c r="AG76" s="206">
        <v>5.7</v>
      </c>
      <c r="AH76" s="203">
        <f t="shared" si="6"/>
        <v>5.58206133861292</v>
      </c>
      <c r="AI76" s="204">
        <f t="shared" si="7"/>
        <v>1241606.2928600877</v>
      </c>
    </row>
    <row r="77" spans="1:35" ht="12.75">
      <c r="A77" t="s">
        <v>125</v>
      </c>
      <c r="B77" s="196">
        <v>123166785.72267999</v>
      </c>
      <c r="C77" s="196">
        <v>25269180561.180008</v>
      </c>
      <c r="D77" s="196">
        <v>1404764565.5540514</v>
      </c>
      <c r="E77" s="197">
        <v>14046299.450000003</v>
      </c>
      <c r="F77" s="196" t="s">
        <v>281</v>
      </c>
      <c r="O77" s="199">
        <v>40940</v>
      </c>
      <c r="P77" s="200" t="s">
        <v>119</v>
      </c>
      <c r="Q77" s="200">
        <v>99.9965</v>
      </c>
      <c r="R77" s="201">
        <v>8</v>
      </c>
      <c r="S77" s="200">
        <v>8.2432</v>
      </c>
      <c r="T77" s="200">
        <v>149994.7</v>
      </c>
      <c r="U77" s="202">
        <v>149994.7</v>
      </c>
      <c r="V77" s="203">
        <f t="shared" si="4"/>
        <v>7.9999849228418185</v>
      </c>
      <c r="W77" s="204">
        <f t="shared" si="5"/>
        <v>1199955.3385061817</v>
      </c>
      <c r="X77" s="209"/>
      <c r="AA77" t="s">
        <v>69</v>
      </c>
      <c r="AB77" s="205">
        <v>7.4115</v>
      </c>
      <c r="AC77" s="205">
        <v>1155</v>
      </c>
      <c r="AD77" s="205">
        <v>102.6753</v>
      </c>
      <c r="AE77" s="205">
        <v>213282.26</v>
      </c>
      <c r="AF77" s="205">
        <v>207725</v>
      </c>
      <c r="AG77" s="206">
        <v>7.62</v>
      </c>
      <c r="AH77" s="203">
        <f t="shared" si="6"/>
        <v>7.411457403503885</v>
      </c>
      <c r="AI77" s="204">
        <f t="shared" si="7"/>
        <v>1580732.3849130406</v>
      </c>
    </row>
    <row r="78" spans="1:35" ht="12.75">
      <c r="A78" t="s">
        <v>100</v>
      </c>
      <c r="B78" s="196">
        <v>11988920.418053998</v>
      </c>
      <c r="C78" s="196">
        <v>1864116097.8399997</v>
      </c>
      <c r="D78" s="196">
        <v>193553291.2243434</v>
      </c>
      <c r="E78" s="197">
        <v>1901363.05</v>
      </c>
      <c r="F78" s="196" t="s">
        <v>301</v>
      </c>
      <c r="O78" s="199">
        <v>40952</v>
      </c>
      <c r="P78" s="200" t="s">
        <v>119</v>
      </c>
      <c r="Q78" s="200">
        <v>99.9954</v>
      </c>
      <c r="R78" s="201">
        <v>7.75</v>
      </c>
      <c r="S78" s="200">
        <v>7.9782</v>
      </c>
      <c r="T78" s="200">
        <v>74996.52</v>
      </c>
      <c r="U78" s="202">
        <v>74996.52</v>
      </c>
      <c r="V78" s="203">
        <f t="shared" si="4"/>
        <v>7.750039891905658</v>
      </c>
      <c r="W78" s="204">
        <f t="shared" si="5"/>
        <v>581226.0217541006</v>
      </c>
      <c r="X78" s="209"/>
      <c r="AA78" t="s">
        <v>69</v>
      </c>
      <c r="AB78" s="205">
        <v>7.4115</v>
      </c>
      <c r="AC78" s="205">
        <v>1155</v>
      </c>
      <c r="AD78" s="205">
        <v>102.6753</v>
      </c>
      <c r="AE78" s="205">
        <v>272277.82</v>
      </c>
      <c r="AF78" s="205">
        <v>265183.37</v>
      </c>
      <c r="AG78" s="206">
        <v>7.62</v>
      </c>
      <c r="AH78" s="203">
        <f t="shared" si="6"/>
        <v>7.411457403503885</v>
      </c>
      <c r="AI78" s="204">
        <f t="shared" si="7"/>
        <v>2017975.4648488981</v>
      </c>
    </row>
    <row r="79" spans="1:35" ht="12.75">
      <c r="A79" t="s">
        <v>307</v>
      </c>
      <c r="B79" s="196">
        <v>3881691.0400220007</v>
      </c>
      <c r="C79" s="196">
        <v>236938523.08</v>
      </c>
      <c r="D79" s="196">
        <v>72652538.978357</v>
      </c>
      <c r="E79" s="197">
        <v>719057.19</v>
      </c>
      <c r="F79" s="196" t="s">
        <v>389</v>
      </c>
      <c r="O79" s="199">
        <v>40931</v>
      </c>
      <c r="P79" s="200" t="s">
        <v>119</v>
      </c>
      <c r="Q79" s="200">
        <v>99.9976</v>
      </c>
      <c r="R79" s="201">
        <v>8</v>
      </c>
      <c r="S79" s="200">
        <v>8.2432</v>
      </c>
      <c r="T79" s="200">
        <v>5999.85</v>
      </c>
      <c r="U79" s="202">
        <v>5999.85</v>
      </c>
      <c r="V79" s="203">
        <f t="shared" si="4"/>
        <v>7.9999849228418185</v>
      </c>
      <c r="W79" s="204">
        <f t="shared" si="5"/>
        <v>47998.70953931249</v>
      </c>
      <c r="X79" s="209"/>
      <c r="AA79" t="s">
        <v>69</v>
      </c>
      <c r="AB79" s="205">
        <v>8.4989</v>
      </c>
      <c r="AC79" s="205">
        <v>1789</v>
      </c>
      <c r="AD79" s="205">
        <v>100</v>
      </c>
      <c r="AE79" s="205">
        <v>40000</v>
      </c>
      <c r="AF79" s="205">
        <v>40000</v>
      </c>
      <c r="AG79" s="206">
        <v>8.7737</v>
      </c>
      <c r="AH79" s="203">
        <f t="shared" si="6"/>
        <v>8.498970836952502</v>
      </c>
      <c r="AI79" s="204">
        <f t="shared" si="7"/>
        <v>339958.8334781001</v>
      </c>
    </row>
    <row r="80" spans="1:35" ht="12.75">
      <c r="A80" t="s">
        <v>99</v>
      </c>
      <c r="B80" s="196">
        <v>9007894.74799</v>
      </c>
      <c r="C80" s="196">
        <v>1674666612.9499998</v>
      </c>
      <c r="D80" s="196">
        <v>181236256.615877</v>
      </c>
      <c r="E80" s="197">
        <v>1762346.82</v>
      </c>
      <c r="F80" s="196" t="s">
        <v>339</v>
      </c>
      <c r="O80" s="199">
        <v>40933</v>
      </c>
      <c r="P80" s="200" t="s">
        <v>119</v>
      </c>
      <c r="Q80" s="200">
        <v>99.9973</v>
      </c>
      <c r="R80" s="201">
        <v>8</v>
      </c>
      <c r="S80" s="200">
        <v>8.2432</v>
      </c>
      <c r="T80" s="200">
        <v>99997.26</v>
      </c>
      <c r="U80" s="202">
        <v>99997.26</v>
      </c>
      <c r="V80" s="203">
        <f t="shared" si="4"/>
        <v>7.9999849228418185</v>
      </c>
      <c r="W80" s="204">
        <f t="shared" si="5"/>
        <v>799976.5723254932</v>
      </c>
      <c r="X80" s="209"/>
      <c r="AA80" t="s">
        <v>69</v>
      </c>
      <c r="AB80" s="205">
        <v>8.4989</v>
      </c>
      <c r="AC80" s="205">
        <v>1789</v>
      </c>
      <c r="AD80" s="205">
        <v>100</v>
      </c>
      <c r="AE80" s="205">
        <v>30000</v>
      </c>
      <c r="AF80" s="205">
        <v>30000</v>
      </c>
      <c r="AG80" s="206">
        <v>8.7737</v>
      </c>
      <c r="AH80" s="203">
        <f t="shared" si="6"/>
        <v>8.498970836952502</v>
      </c>
      <c r="AI80" s="204">
        <f t="shared" si="7"/>
        <v>254969.12510857507</v>
      </c>
    </row>
    <row r="81" spans="1:35" ht="12.75">
      <c r="A81" t="s">
        <v>340</v>
      </c>
      <c r="B81" s="196">
        <v>3132999.8843500004</v>
      </c>
      <c r="C81" s="196">
        <v>353627851.5</v>
      </c>
      <c r="D81" s="196">
        <v>52078258.30205</v>
      </c>
      <c r="E81" s="197">
        <v>510285.5</v>
      </c>
      <c r="F81" s="196" t="s">
        <v>341</v>
      </c>
      <c r="O81" s="199">
        <v>40935</v>
      </c>
      <c r="P81" s="200" t="s">
        <v>119</v>
      </c>
      <c r="Q81" s="200">
        <v>99.997</v>
      </c>
      <c r="R81" s="201">
        <v>8</v>
      </c>
      <c r="S81" s="200">
        <v>8.2432</v>
      </c>
      <c r="T81" s="200">
        <v>499984.86</v>
      </c>
      <c r="U81" s="202">
        <v>499984.86</v>
      </c>
      <c r="V81" s="203">
        <f t="shared" si="4"/>
        <v>7.9999849228418185</v>
      </c>
      <c r="W81" s="204">
        <f t="shared" si="5"/>
        <v>3999871.3416491775</v>
      </c>
      <c r="X81" s="209"/>
      <c r="AA81" t="s">
        <v>69</v>
      </c>
      <c r="AB81" s="205">
        <v>8.4989</v>
      </c>
      <c r="AC81" s="205">
        <v>1788</v>
      </c>
      <c r="AD81" s="205">
        <v>100</v>
      </c>
      <c r="AE81" s="205">
        <v>125000</v>
      </c>
      <c r="AF81" s="205">
        <v>125000</v>
      </c>
      <c r="AG81" s="206">
        <v>8.7736</v>
      </c>
      <c r="AH81" s="203">
        <f t="shared" si="6"/>
        <v>8.498876949571699</v>
      </c>
      <c r="AI81" s="204">
        <f t="shared" si="7"/>
        <v>1062359.6186964624</v>
      </c>
    </row>
    <row r="82" spans="1:35" ht="12.75">
      <c r="A82" t="s">
        <v>104</v>
      </c>
      <c r="B82" s="196">
        <v>9507752.262124002</v>
      </c>
      <c r="C82" s="196">
        <v>739199839.7800001</v>
      </c>
      <c r="D82" s="196">
        <v>185226425.07616097</v>
      </c>
      <c r="E82" s="197">
        <v>1817081.37</v>
      </c>
      <c r="F82" s="196" t="s">
        <v>342</v>
      </c>
      <c r="O82" s="199">
        <v>40918</v>
      </c>
      <c r="P82" s="200" t="s">
        <v>119</v>
      </c>
      <c r="Q82" s="200">
        <v>100</v>
      </c>
      <c r="R82" s="201">
        <v>8</v>
      </c>
      <c r="S82" s="200">
        <v>8.2432</v>
      </c>
      <c r="T82" s="200">
        <v>100000</v>
      </c>
      <c r="U82" s="202">
        <v>100000</v>
      </c>
      <c r="V82" s="203">
        <f t="shared" si="4"/>
        <v>7.9999849228418185</v>
      </c>
      <c r="W82" s="204">
        <f t="shared" si="5"/>
        <v>799998.4922841819</v>
      </c>
      <c r="X82" s="209"/>
      <c r="AA82" t="s">
        <v>69</v>
      </c>
      <c r="AB82" s="205">
        <v>7.75</v>
      </c>
      <c r="AC82" s="205">
        <v>1284</v>
      </c>
      <c r="AD82" s="205">
        <v>99.9964</v>
      </c>
      <c r="AE82" s="205">
        <v>14999.45</v>
      </c>
      <c r="AF82" s="205">
        <v>15000</v>
      </c>
      <c r="AG82" s="206">
        <v>7.9782</v>
      </c>
      <c r="AH82" s="203">
        <f t="shared" si="6"/>
        <v>7.750039891905658</v>
      </c>
      <c r="AI82" s="204">
        <f t="shared" si="7"/>
        <v>116246.33585664432</v>
      </c>
    </row>
    <row r="83" spans="1:35" ht="12.75">
      <c r="A83" t="s">
        <v>390</v>
      </c>
      <c r="B83" s="196">
        <v>4324662.6329</v>
      </c>
      <c r="C83" s="196">
        <v>505439329.33</v>
      </c>
      <c r="D83" s="196">
        <v>101103284.25034799</v>
      </c>
      <c r="E83" s="197">
        <v>975136.09</v>
      </c>
      <c r="F83" s="196" t="s">
        <v>391</v>
      </c>
      <c r="O83" s="199">
        <v>40919</v>
      </c>
      <c r="P83" s="200" t="s">
        <v>119</v>
      </c>
      <c r="Q83" s="200">
        <v>99.9998</v>
      </c>
      <c r="R83" s="201">
        <v>8</v>
      </c>
      <c r="S83" s="200">
        <v>8.2432</v>
      </c>
      <c r="T83" s="200">
        <v>19999.96</v>
      </c>
      <c r="U83" s="202">
        <v>19999.96</v>
      </c>
      <c r="V83" s="203">
        <f t="shared" si="4"/>
        <v>7.9999849228418185</v>
      </c>
      <c r="W83" s="204">
        <f t="shared" si="5"/>
        <v>159999.37845743945</v>
      </c>
      <c r="X83" s="209"/>
      <c r="AA83" t="s">
        <v>69</v>
      </c>
      <c r="AB83" s="205">
        <v>8</v>
      </c>
      <c r="AC83" s="205">
        <v>1397</v>
      </c>
      <c r="AD83" s="205">
        <v>99.9951</v>
      </c>
      <c r="AE83" s="205">
        <v>2999853</v>
      </c>
      <c r="AF83" s="205">
        <v>3000000</v>
      </c>
      <c r="AG83" s="206">
        <v>8.2432</v>
      </c>
      <c r="AH83" s="203">
        <f t="shared" si="6"/>
        <v>7.9999849228418185</v>
      </c>
      <c r="AI83" s="204">
        <f t="shared" si="7"/>
        <v>23998778.770741798</v>
      </c>
    </row>
    <row r="84" spans="1:35" ht="12.75">
      <c r="A84" t="s">
        <v>321</v>
      </c>
      <c r="B84" s="196">
        <v>4540866.067176999</v>
      </c>
      <c r="C84" s="196">
        <v>497918129.19000006</v>
      </c>
      <c r="D84" s="196">
        <v>71619509.767396</v>
      </c>
      <c r="E84" s="197">
        <v>702895.07</v>
      </c>
      <c r="F84" s="196" t="s">
        <v>343</v>
      </c>
      <c r="O84" s="199">
        <v>40917</v>
      </c>
      <c r="P84" s="200" t="s">
        <v>119</v>
      </c>
      <c r="Q84" s="200">
        <v>99.9979</v>
      </c>
      <c r="R84" s="201">
        <v>7.75</v>
      </c>
      <c r="S84" s="200">
        <v>7.9782</v>
      </c>
      <c r="T84" s="200">
        <v>29999.37</v>
      </c>
      <c r="U84" s="202">
        <v>29999.37</v>
      </c>
      <c r="V84" s="203">
        <f t="shared" si="4"/>
        <v>7.750039891905658</v>
      </c>
      <c r="W84" s="204">
        <f t="shared" si="5"/>
        <v>232496.31423203784</v>
      </c>
      <c r="X84" s="209"/>
      <c r="AA84" t="s">
        <v>69</v>
      </c>
      <c r="AB84" s="205">
        <v>6.25</v>
      </c>
      <c r="AC84" s="205">
        <v>1085</v>
      </c>
      <c r="AD84" s="205">
        <v>100</v>
      </c>
      <c r="AE84" s="205">
        <v>100000</v>
      </c>
      <c r="AF84" s="205">
        <v>100000</v>
      </c>
      <c r="AG84" s="206">
        <v>6.398</v>
      </c>
      <c r="AH84" s="203">
        <f t="shared" si="6"/>
        <v>6.24998452252985</v>
      </c>
      <c r="AI84" s="204">
        <f t="shared" si="7"/>
        <v>624998.452252985</v>
      </c>
    </row>
    <row r="85" spans="1:35" ht="12.75">
      <c r="A85" t="s">
        <v>392</v>
      </c>
      <c r="B85" s="196">
        <v>585089.857739</v>
      </c>
      <c r="C85" s="196">
        <v>31342647.549999997</v>
      </c>
      <c r="D85" s="196">
        <v>8874392.493201999</v>
      </c>
      <c r="E85" s="197">
        <v>89121.52</v>
      </c>
      <c r="F85" s="196" t="s">
        <v>393</v>
      </c>
      <c r="O85" s="199">
        <v>40948</v>
      </c>
      <c r="P85" s="200" t="s">
        <v>119</v>
      </c>
      <c r="Q85" s="200">
        <v>99.9957</v>
      </c>
      <c r="R85" s="201">
        <v>8</v>
      </c>
      <c r="S85" s="200">
        <v>8.2432</v>
      </c>
      <c r="T85" s="200">
        <v>1396939.65</v>
      </c>
      <c r="U85" s="202">
        <v>1396939.65</v>
      </c>
      <c r="V85" s="203">
        <f t="shared" si="4"/>
        <v>7.9999849228418185</v>
      </c>
      <c r="W85" s="204">
        <f t="shared" si="5"/>
        <v>11175496.138119927</v>
      </c>
      <c r="X85" s="209"/>
      <c r="AA85" t="s">
        <v>69</v>
      </c>
      <c r="AB85" s="205">
        <v>0</v>
      </c>
      <c r="AC85" s="205">
        <v>1018</v>
      </c>
      <c r="AD85" s="205">
        <v>99.4301</v>
      </c>
      <c r="AE85" s="205">
        <v>497150.5</v>
      </c>
      <c r="AF85" s="205">
        <v>500000</v>
      </c>
      <c r="AG85" s="206">
        <v>6.8042</v>
      </c>
      <c r="AH85" s="203">
        <f t="shared" si="6"/>
        <v>6.637169946392696</v>
      </c>
      <c r="AI85" s="204">
        <f t="shared" si="7"/>
        <v>3299672.357434102</v>
      </c>
    </row>
    <row r="86" spans="1:35" ht="12.75">
      <c r="A86" t="s">
        <v>394</v>
      </c>
      <c r="B86" s="196">
        <v>1143941.206302</v>
      </c>
      <c r="C86" s="196">
        <v>96185916.49000001</v>
      </c>
      <c r="D86" s="196">
        <v>14380414.887912</v>
      </c>
      <c r="E86" s="197">
        <v>145775.97</v>
      </c>
      <c r="F86" s="196" t="s">
        <v>395</v>
      </c>
      <c r="O86" s="199">
        <v>41017</v>
      </c>
      <c r="P86" s="200" t="s">
        <v>119</v>
      </c>
      <c r="Q86" s="200">
        <v>99.8415</v>
      </c>
      <c r="R86" s="201">
        <v>8.0634</v>
      </c>
      <c r="S86" s="200">
        <v>8.3105</v>
      </c>
      <c r="T86" s="200">
        <v>99841.5</v>
      </c>
      <c r="U86" s="202">
        <v>99841.5</v>
      </c>
      <c r="V86" s="203">
        <f t="shared" si="4"/>
        <v>8.063388442020969</v>
      </c>
      <c r="W86" s="204">
        <f t="shared" si="5"/>
        <v>805060.7971340365</v>
      </c>
      <c r="X86" s="209"/>
      <c r="AA86" t="s">
        <v>69</v>
      </c>
      <c r="AB86" s="205">
        <v>8.4988</v>
      </c>
      <c r="AC86" s="205">
        <v>1787</v>
      </c>
      <c r="AD86" s="205">
        <v>100</v>
      </c>
      <c r="AE86" s="205">
        <v>50000</v>
      </c>
      <c r="AF86" s="205">
        <v>50000</v>
      </c>
      <c r="AG86" s="206">
        <v>8.7735</v>
      </c>
      <c r="AH86" s="203">
        <f t="shared" si="6"/>
        <v>8.498783062126147</v>
      </c>
      <c r="AI86" s="204">
        <f t="shared" si="7"/>
        <v>424939.1531063074</v>
      </c>
    </row>
    <row r="87" spans="1:35" ht="12.75">
      <c r="A87" t="s">
        <v>396</v>
      </c>
      <c r="B87" s="196">
        <v>120375212.920856</v>
      </c>
      <c r="C87" s="196">
        <v>44205610876.52</v>
      </c>
      <c r="D87" s="196">
        <v>14917367319</v>
      </c>
      <c r="E87" s="197">
        <v>19291954.44</v>
      </c>
      <c r="F87" s="196" t="s">
        <v>397</v>
      </c>
      <c r="O87" s="199">
        <v>40969</v>
      </c>
      <c r="P87" s="200" t="s">
        <v>156</v>
      </c>
      <c r="Q87" s="200">
        <v>99.38</v>
      </c>
      <c r="R87" s="201">
        <v>7.5</v>
      </c>
      <c r="S87" s="200">
        <v>7.7136</v>
      </c>
      <c r="T87" s="200">
        <v>218635.97</v>
      </c>
      <c r="U87" s="202">
        <v>218635.97</v>
      </c>
      <c r="V87" s="203">
        <f t="shared" si="4"/>
        <v>7.500012694114311</v>
      </c>
      <c r="W87" s="204">
        <f t="shared" si="5"/>
        <v>1639772.5503899956</v>
      </c>
      <c r="X87" s="209"/>
      <c r="AA87" t="s">
        <v>69</v>
      </c>
      <c r="AB87" s="205">
        <v>8.25</v>
      </c>
      <c r="AC87" s="205">
        <v>1079</v>
      </c>
      <c r="AD87" s="205">
        <v>99.9998</v>
      </c>
      <c r="AE87" s="205">
        <v>1999995.39</v>
      </c>
      <c r="AF87" s="205">
        <v>2000000</v>
      </c>
      <c r="AG87" s="206">
        <v>8.5088</v>
      </c>
      <c r="AH87" s="203">
        <f t="shared" si="6"/>
        <v>8.250035795761956</v>
      </c>
      <c r="AI87" s="204">
        <f t="shared" si="7"/>
        <v>16500033.558858894</v>
      </c>
    </row>
    <row r="88" spans="1:35" ht="12.75">
      <c r="A88" t="s">
        <v>121</v>
      </c>
      <c r="B88" s="196">
        <v>76008731.70324901</v>
      </c>
      <c r="C88" s="196">
        <v>8750228642.39</v>
      </c>
      <c r="D88" s="196">
        <v>1098984974.220535</v>
      </c>
      <c r="E88" s="197">
        <v>10994910.440000001</v>
      </c>
      <c r="F88" s="196" t="s">
        <v>274</v>
      </c>
      <c r="O88" s="199">
        <v>40938</v>
      </c>
      <c r="P88" s="200" t="s">
        <v>111</v>
      </c>
      <c r="Q88" s="200">
        <v>102.0606</v>
      </c>
      <c r="R88" s="201">
        <v>6.8234</v>
      </c>
      <c r="S88" s="200">
        <v>7</v>
      </c>
      <c r="T88" s="200">
        <v>20412.12</v>
      </c>
      <c r="U88" s="202">
        <v>20412.12</v>
      </c>
      <c r="V88" s="203">
        <f t="shared" si="4"/>
        <v>6.82341000072455</v>
      </c>
      <c r="W88" s="204">
        <f t="shared" si="5"/>
        <v>139280.2637439896</v>
      </c>
      <c r="X88" s="209"/>
      <c r="AA88" t="s">
        <v>69</v>
      </c>
      <c r="AB88" s="205">
        <v>8.2497</v>
      </c>
      <c r="AC88" s="205">
        <v>1078</v>
      </c>
      <c r="AD88" s="205">
        <v>100</v>
      </c>
      <c r="AE88" s="205">
        <v>20000</v>
      </c>
      <c r="AF88" s="205">
        <v>20000</v>
      </c>
      <c r="AG88" s="206">
        <v>8.5085</v>
      </c>
      <c r="AH88" s="203">
        <f t="shared" si="6"/>
        <v>8.249753617870148</v>
      </c>
      <c r="AI88" s="204">
        <f t="shared" si="7"/>
        <v>164995.07235740297</v>
      </c>
    </row>
    <row r="89" spans="1:35" ht="12.75">
      <c r="A89" t="s">
        <v>2</v>
      </c>
      <c r="B89" s="196">
        <v>203215.447867</v>
      </c>
      <c r="C89" s="196">
        <v>8182784.46</v>
      </c>
      <c r="D89" s="196">
        <v>2195745.626474</v>
      </c>
      <c r="E89" s="197">
        <v>21873.14</v>
      </c>
      <c r="F89" s="196" t="s">
        <v>29</v>
      </c>
      <c r="O89" s="199">
        <v>40934</v>
      </c>
      <c r="P89" s="200" t="s">
        <v>111</v>
      </c>
      <c r="Q89" s="200">
        <v>102.4504</v>
      </c>
      <c r="R89" s="201">
        <v>6.7</v>
      </c>
      <c r="S89" s="200">
        <v>6.8702</v>
      </c>
      <c r="T89" s="200">
        <v>81960.3</v>
      </c>
      <c r="U89" s="202">
        <v>81960.3</v>
      </c>
      <c r="V89" s="203">
        <f aca="true" t="shared" si="8" ref="V89:V120">+((1+S89/100)^(90/360)-1)*(400)</f>
        <v>6.699976081847314</v>
      </c>
      <c r="W89" s="204">
        <f aca="true" t="shared" si="9" ref="W89:W120">+V89*T89</f>
        <v>549132.0496610304</v>
      </c>
      <c r="X89" s="204"/>
      <c r="AA89" t="s">
        <v>69</v>
      </c>
      <c r="AB89" s="205">
        <v>8.2495</v>
      </c>
      <c r="AC89" s="205">
        <v>1076</v>
      </c>
      <c r="AD89" s="205">
        <v>100</v>
      </c>
      <c r="AE89" s="205">
        <v>10000</v>
      </c>
      <c r="AF89" s="205">
        <v>10000</v>
      </c>
      <c r="AG89" s="206">
        <v>8.5082</v>
      </c>
      <c r="AH89" s="203">
        <f aca="true" t="shared" si="10" ref="AH89:AH120">+((1+AG89/100)^(90/360)-1)*(400)</f>
        <v>8.249471439393208</v>
      </c>
      <c r="AI89" s="204">
        <f aca="true" t="shared" si="11" ref="AI89:AI120">+AH89*AE89</f>
        <v>82494.71439393208</v>
      </c>
    </row>
    <row r="90" spans="1:35" ht="12.75">
      <c r="A90" t="s">
        <v>1</v>
      </c>
      <c r="B90" s="196">
        <v>8433224.197215999</v>
      </c>
      <c r="C90" s="196">
        <v>1142378018.8899999</v>
      </c>
      <c r="D90" s="196">
        <v>118197574.87976113</v>
      </c>
      <c r="E90" s="197">
        <v>1166107.51</v>
      </c>
      <c r="F90" s="196" t="s">
        <v>398</v>
      </c>
      <c r="O90" s="199">
        <v>41019</v>
      </c>
      <c r="P90" s="200" t="s">
        <v>111</v>
      </c>
      <c r="Q90" s="200">
        <v>103.3306</v>
      </c>
      <c r="R90" s="201">
        <v>6.3473</v>
      </c>
      <c r="S90" s="200">
        <v>6.5</v>
      </c>
      <c r="T90" s="200">
        <v>165328.89</v>
      </c>
      <c r="U90" s="202">
        <v>165328.89</v>
      </c>
      <c r="V90" s="203">
        <f t="shared" si="8"/>
        <v>6.347313913113428</v>
      </c>
      <c r="W90" s="204">
        <f t="shared" si="9"/>
        <v>1049394.3637365997</v>
      </c>
      <c r="X90" s="209"/>
      <c r="AA90" t="s">
        <v>69</v>
      </c>
      <c r="AB90" s="205">
        <v>8.2495</v>
      </c>
      <c r="AC90" s="205">
        <v>1076</v>
      </c>
      <c r="AD90" s="205">
        <v>99.9999</v>
      </c>
      <c r="AE90" s="205">
        <v>1499998.83</v>
      </c>
      <c r="AF90" s="205">
        <v>1500000</v>
      </c>
      <c r="AG90" s="206">
        <v>8.5082</v>
      </c>
      <c r="AH90" s="203">
        <f t="shared" si="10"/>
        <v>8.249471439393208</v>
      </c>
      <c r="AI90" s="204">
        <f t="shared" si="11"/>
        <v>12374197.507208228</v>
      </c>
    </row>
    <row r="91" spans="1:35" ht="12.75">
      <c r="A91" t="s">
        <v>411</v>
      </c>
      <c r="B91" s="196">
        <v>178297303.537402</v>
      </c>
      <c r="C91" s="196">
        <v>53401073023.119995</v>
      </c>
      <c r="D91" s="196">
        <v>2830812509.6284285</v>
      </c>
      <c r="E91" s="197">
        <v>28400905.630000003</v>
      </c>
      <c r="F91" s="196" t="s">
        <v>422</v>
      </c>
      <c r="O91" s="199">
        <v>40939</v>
      </c>
      <c r="P91" s="200" t="s">
        <v>122</v>
      </c>
      <c r="Q91" s="200">
        <v>100.27</v>
      </c>
      <c r="R91" s="201">
        <v>7.4563</v>
      </c>
      <c r="S91" s="200">
        <v>7.6674</v>
      </c>
      <c r="T91" s="200">
        <v>39755.05</v>
      </c>
      <c r="U91" s="202">
        <v>39755.05</v>
      </c>
      <c r="V91" s="203">
        <f t="shared" si="8"/>
        <v>7.456309927103177</v>
      </c>
      <c r="W91" s="204">
        <f t="shared" si="9"/>
        <v>296425.9739674832</v>
      </c>
      <c r="X91" s="209"/>
      <c r="AA91" t="s">
        <v>69</v>
      </c>
      <c r="AB91" s="205">
        <v>8.2488</v>
      </c>
      <c r="AC91" s="205">
        <v>1071</v>
      </c>
      <c r="AD91" s="205">
        <v>100</v>
      </c>
      <c r="AE91" s="205">
        <v>200000</v>
      </c>
      <c r="AF91" s="205">
        <v>200000</v>
      </c>
      <c r="AG91" s="206">
        <v>8.5075</v>
      </c>
      <c r="AH91" s="203">
        <f t="shared" si="10"/>
        <v>8.24881302067153</v>
      </c>
      <c r="AI91" s="204">
        <f t="shared" si="11"/>
        <v>1649762.604134306</v>
      </c>
    </row>
    <row r="92" spans="1:35" ht="12.75">
      <c r="A92" t="s">
        <v>412</v>
      </c>
      <c r="B92" s="196">
        <v>31669070.29129</v>
      </c>
      <c r="C92" s="196">
        <v>15861825410.06</v>
      </c>
      <c r="D92" s="196">
        <v>405554235.48050797</v>
      </c>
      <c r="E92" s="197">
        <v>4095550.98</v>
      </c>
      <c r="F92" s="196" t="s">
        <v>423</v>
      </c>
      <c r="O92" s="199">
        <v>40949</v>
      </c>
      <c r="P92" s="200" t="s">
        <v>133</v>
      </c>
      <c r="Q92" s="200">
        <v>100.6769</v>
      </c>
      <c r="R92" s="201">
        <v>6.55</v>
      </c>
      <c r="S92" s="200">
        <v>6.7126</v>
      </c>
      <c r="T92" s="200">
        <v>13369.89</v>
      </c>
      <c r="U92" s="202">
        <v>13369.89</v>
      </c>
      <c r="V92" s="203">
        <f t="shared" si="8"/>
        <v>6.549954391371404</v>
      </c>
      <c r="W92" s="204">
        <f t="shared" si="9"/>
        <v>87572.16971765262</v>
      </c>
      <c r="X92" s="209"/>
      <c r="AA92" t="s">
        <v>69</v>
      </c>
      <c r="AB92" s="205">
        <v>8.2487</v>
      </c>
      <c r="AC92" s="205">
        <v>1070</v>
      </c>
      <c r="AD92" s="205">
        <v>100</v>
      </c>
      <c r="AE92" s="205">
        <v>750000.17</v>
      </c>
      <c r="AF92" s="205">
        <v>750000</v>
      </c>
      <c r="AG92" s="206">
        <v>8.5074</v>
      </c>
      <c r="AH92" s="203">
        <f t="shared" si="10"/>
        <v>8.248718960594115</v>
      </c>
      <c r="AI92" s="204">
        <f t="shared" si="11"/>
        <v>6186540.6227278095</v>
      </c>
    </row>
    <row r="93" spans="1:35" ht="12.75">
      <c r="A93" t="s">
        <v>137</v>
      </c>
      <c r="B93" s="196">
        <v>14689525.952868002</v>
      </c>
      <c r="C93" s="196">
        <v>3936045277.5800004</v>
      </c>
      <c r="D93" s="196">
        <v>244020166</v>
      </c>
      <c r="E93" s="197">
        <v>2440201.66</v>
      </c>
      <c r="F93" s="196" t="s">
        <v>399</v>
      </c>
      <c r="O93" s="199">
        <v>40949</v>
      </c>
      <c r="P93" s="200" t="s">
        <v>133</v>
      </c>
      <c r="Q93" s="200">
        <v>100.6769</v>
      </c>
      <c r="R93" s="201">
        <v>6.55</v>
      </c>
      <c r="S93" s="200">
        <v>6.7126</v>
      </c>
      <c r="T93" s="200">
        <v>6684.95</v>
      </c>
      <c r="U93" s="202">
        <v>6684.95</v>
      </c>
      <c r="V93" s="203">
        <f t="shared" si="8"/>
        <v>6.549954391371404</v>
      </c>
      <c r="W93" s="204">
        <f t="shared" si="9"/>
        <v>43786.117608598266</v>
      </c>
      <c r="X93" s="209"/>
      <c r="AA93" t="s">
        <v>69</v>
      </c>
      <c r="AB93" s="205">
        <v>8.2487</v>
      </c>
      <c r="AC93" s="205">
        <v>1070</v>
      </c>
      <c r="AD93" s="205">
        <v>100</v>
      </c>
      <c r="AE93" s="205">
        <v>10000</v>
      </c>
      <c r="AF93" s="205">
        <v>10000</v>
      </c>
      <c r="AG93" s="206">
        <v>8.5074</v>
      </c>
      <c r="AH93" s="203">
        <f t="shared" si="10"/>
        <v>8.248718960594115</v>
      </c>
      <c r="AI93" s="204">
        <f t="shared" si="11"/>
        <v>82487.18960594115</v>
      </c>
    </row>
    <row r="94" spans="1:35" ht="12.75">
      <c r="A94" t="s">
        <v>157</v>
      </c>
      <c r="B94" s="196">
        <v>466621719.94465</v>
      </c>
      <c r="C94" s="196">
        <v>152282910775.7</v>
      </c>
      <c r="D94" s="196">
        <v>6185566325</v>
      </c>
      <c r="E94" s="197">
        <v>60145663.25</v>
      </c>
      <c r="F94" s="196" t="s">
        <v>400</v>
      </c>
      <c r="O94" s="199">
        <v>40949</v>
      </c>
      <c r="P94" s="200" t="s">
        <v>133</v>
      </c>
      <c r="Q94" s="200">
        <v>100.6769</v>
      </c>
      <c r="R94" s="201">
        <v>6.55</v>
      </c>
      <c r="S94" s="200">
        <v>6.7126</v>
      </c>
      <c r="T94" s="200">
        <v>3342.47</v>
      </c>
      <c r="U94" s="202">
        <v>3342.47</v>
      </c>
      <c r="V94" s="203">
        <f t="shared" si="8"/>
        <v>6.549954391371404</v>
      </c>
      <c r="W94" s="204">
        <f t="shared" si="9"/>
        <v>21893.026054527178</v>
      </c>
      <c r="X94" s="209"/>
      <c r="AA94" t="s">
        <v>69</v>
      </c>
      <c r="AB94" s="205">
        <v>7.9986</v>
      </c>
      <c r="AC94" s="205">
        <v>1364</v>
      </c>
      <c r="AD94" s="205">
        <v>100</v>
      </c>
      <c r="AE94" s="205">
        <v>100000</v>
      </c>
      <c r="AF94" s="205">
        <v>100000</v>
      </c>
      <c r="AG94" s="206">
        <v>8.2417</v>
      </c>
      <c r="AH94" s="203">
        <f t="shared" si="10"/>
        <v>7.998571431837842</v>
      </c>
      <c r="AI94" s="204">
        <f t="shared" si="11"/>
        <v>799857.1431837842</v>
      </c>
    </row>
    <row r="95" spans="1:35" ht="12.75">
      <c r="A95" t="s">
        <v>279</v>
      </c>
      <c r="B95" s="196">
        <v>267441912.1538</v>
      </c>
      <c r="C95" s="196">
        <v>101675029570</v>
      </c>
      <c r="D95" s="196">
        <v>3500000000</v>
      </c>
      <c r="E95" s="197">
        <v>35000000</v>
      </c>
      <c r="F95" s="196" t="s">
        <v>280</v>
      </c>
      <c r="O95" s="199">
        <v>40980</v>
      </c>
      <c r="P95" s="200" t="s">
        <v>133</v>
      </c>
      <c r="Q95" s="200">
        <v>100.629</v>
      </c>
      <c r="R95" s="201">
        <v>0</v>
      </c>
      <c r="S95" s="200">
        <v>8.6683</v>
      </c>
      <c r="T95" s="200">
        <v>120754.8</v>
      </c>
      <c r="U95" s="202">
        <v>120754.8</v>
      </c>
      <c r="V95" s="203">
        <f t="shared" si="8"/>
        <v>8.399977593367414</v>
      </c>
      <c r="W95" s="204">
        <f t="shared" si="9"/>
        <v>1014337.6142915634</v>
      </c>
      <c r="X95" s="209"/>
      <c r="AA95" t="s">
        <v>69</v>
      </c>
      <c r="AB95" s="205">
        <v>7.5</v>
      </c>
      <c r="AC95" s="205">
        <v>1128</v>
      </c>
      <c r="AD95" s="205">
        <v>102.4233</v>
      </c>
      <c r="AE95" s="205">
        <v>204846.62</v>
      </c>
      <c r="AF95" s="205">
        <v>200000</v>
      </c>
      <c r="AG95" s="206">
        <v>7.7136</v>
      </c>
      <c r="AH95" s="203">
        <f t="shared" si="10"/>
        <v>7.500012694114311</v>
      </c>
      <c r="AI95" s="204">
        <f t="shared" si="11"/>
        <v>1536352.2503464103</v>
      </c>
    </row>
    <row r="96" spans="1:35" ht="12.75">
      <c r="A96" t="s">
        <v>413</v>
      </c>
      <c r="B96" s="196">
        <v>10548168.38148</v>
      </c>
      <c r="C96" s="196">
        <v>4881768015.6</v>
      </c>
      <c r="D96" s="196">
        <v>124981260.00000001</v>
      </c>
      <c r="E96" s="197">
        <v>1249812.6</v>
      </c>
      <c r="F96" s="196" t="s">
        <v>424</v>
      </c>
      <c r="O96" s="199">
        <v>40980</v>
      </c>
      <c r="P96" s="200" t="s">
        <v>133</v>
      </c>
      <c r="Q96" s="200">
        <v>100.629</v>
      </c>
      <c r="R96" s="201">
        <v>0</v>
      </c>
      <c r="S96" s="200">
        <v>8.6683</v>
      </c>
      <c r="T96" s="200">
        <v>150943.5</v>
      </c>
      <c r="U96" s="202">
        <v>150943.5</v>
      </c>
      <c r="V96" s="203">
        <f t="shared" si="8"/>
        <v>8.399977593367414</v>
      </c>
      <c r="W96" s="204">
        <f t="shared" si="9"/>
        <v>1267922.0178644543</v>
      </c>
      <c r="X96" s="204">
        <f>+SUM(W92:W96)/SUM(T92:T96)</f>
        <v>8.253294400200653</v>
      </c>
      <c r="Y96" s="204">
        <f>+SUM(W92:W96)</f>
        <v>2435510.945536796</v>
      </c>
      <c r="AA96" t="s">
        <v>69</v>
      </c>
      <c r="AB96" s="205">
        <v>8.4985</v>
      </c>
      <c r="AC96" s="205">
        <v>1783</v>
      </c>
      <c r="AD96" s="205">
        <v>100</v>
      </c>
      <c r="AE96" s="205">
        <v>200000</v>
      </c>
      <c r="AF96" s="205">
        <v>200000</v>
      </c>
      <c r="AG96" s="206">
        <v>8.7732</v>
      </c>
      <c r="AH96" s="203">
        <f t="shared" si="10"/>
        <v>8.498501399401182</v>
      </c>
      <c r="AI96" s="204">
        <f t="shared" si="11"/>
        <v>1699700.2798802364</v>
      </c>
    </row>
    <row r="97" spans="1:35" ht="12.75">
      <c r="A97" t="s">
        <v>33</v>
      </c>
      <c r="B97" s="196">
        <v>28495929.852225002</v>
      </c>
      <c r="C97" s="196">
        <v>6598612340.219999</v>
      </c>
      <c r="D97" s="196">
        <v>377006953.965799</v>
      </c>
      <c r="E97" s="197">
        <v>3796261.92</v>
      </c>
      <c r="F97" s="196" t="s">
        <v>401</v>
      </c>
      <c r="O97" s="199">
        <v>40927</v>
      </c>
      <c r="P97" s="200" t="s">
        <v>123</v>
      </c>
      <c r="Q97" s="200">
        <v>100</v>
      </c>
      <c r="R97" s="201">
        <v>7.148</v>
      </c>
      <c r="S97" s="200">
        <v>7.3419</v>
      </c>
      <c r="T97" s="200">
        <v>1000000</v>
      </c>
      <c r="U97" s="202">
        <v>1000000</v>
      </c>
      <c r="V97" s="203">
        <f t="shared" si="8"/>
        <v>7.1480047812998215</v>
      </c>
      <c r="W97" s="204">
        <f t="shared" si="9"/>
        <v>7148004.781299821</v>
      </c>
      <c r="X97" s="209"/>
      <c r="AA97" t="s">
        <v>69</v>
      </c>
      <c r="AB97" s="205">
        <v>8.4985</v>
      </c>
      <c r="AC97" s="205">
        <v>1783</v>
      </c>
      <c r="AD97" s="205">
        <v>100</v>
      </c>
      <c r="AE97" s="205">
        <v>100000</v>
      </c>
      <c r="AF97" s="205">
        <v>100000</v>
      </c>
      <c r="AG97" s="206">
        <v>8.7732</v>
      </c>
      <c r="AH97" s="203">
        <f t="shared" si="10"/>
        <v>8.498501399401182</v>
      </c>
      <c r="AI97" s="204">
        <f t="shared" si="11"/>
        <v>849850.1399401182</v>
      </c>
    </row>
    <row r="98" spans="1:35" ht="12.75">
      <c r="A98" t="s">
        <v>402</v>
      </c>
      <c r="B98" s="196">
        <v>946701.54946</v>
      </c>
      <c r="C98" s="196">
        <v>32469750.38</v>
      </c>
      <c r="D98" s="196">
        <v>14213247.491266001</v>
      </c>
      <c r="E98" s="197">
        <v>140670.7</v>
      </c>
      <c r="F98" s="196" t="s">
        <v>403</v>
      </c>
      <c r="O98" s="199">
        <v>41019</v>
      </c>
      <c r="P98" s="200" t="s">
        <v>134</v>
      </c>
      <c r="Q98" s="200">
        <v>101.9973</v>
      </c>
      <c r="R98" s="201">
        <v>6.8234</v>
      </c>
      <c r="S98" s="200">
        <v>7</v>
      </c>
      <c r="T98" s="200">
        <v>81597.86</v>
      </c>
      <c r="U98" s="202">
        <v>81597.86</v>
      </c>
      <c r="V98" s="203">
        <f t="shared" si="8"/>
        <v>6.82341000072455</v>
      </c>
      <c r="W98" s="204">
        <f t="shared" si="9"/>
        <v>556775.6539617217</v>
      </c>
      <c r="X98" s="209"/>
      <c r="AA98" t="s">
        <v>69</v>
      </c>
      <c r="AB98" s="205">
        <v>8.2483</v>
      </c>
      <c r="AC98" s="205">
        <v>1066</v>
      </c>
      <c r="AD98" s="205">
        <v>100</v>
      </c>
      <c r="AE98" s="205">
        <v>200000</v>
      </c>
      <c r="AF98" s="205">
        <v>200000</v>
      </c>
      <c r="AG98" s="206">
        <v>8.5069</v>
      </c>
      <c r="AH98" s="203">
        <f t="shared" si="10"/>
        <v>8.248248659231638</v>
      </c>
      <c r="AI98" s="204">
        <f t="shared" si="11"/>
        <v>1649649.7318463277</v>
      </c>
    </row>
    <row r="99" spans="1:35" ht="12.75">
      <c r="A99" t="s">
        <v>404</v>
      </c>
      <c r="B99" s="196">
        <v>445341.687696</v>
      </c>
      <c r="C99" s="196">
        <v>19802971.23</v>
      </c>
      <c r="D99" s="196">
        <v>5837200.00944</v>
      </c>
      <c r="E99" s="197">
        <v>57734.61</v>
      </c>
      <c r="F99" s="196" t="s">
        <v>405</v>
      </c>
      <c r="O99" s="199">
        <v>41019</v>
      </c>
      <c r="P99" s="200" t="s">
        <v>134</v>
      </c>
      <c r="Q99" s="200">
        <v>101.9973</v>
      </c>
      <c r="R99" s="201">
        <v>6.8234</v>
      </c>
      <c r="S99" s="200">
        <v>7</v>
      </c>
      <c r="T99" s="200">
        <v>81597.86</v>
      </c>
      <c r="U99" s="202">
        <v>81597.86</v>
      </c>
      <c r="V99" s="203">
        <f t="shared" si="8"/>
        <v>6.82341000072455</v>
      </c>
      <c r="W99" s="204">
        <f t="shared" si="9"/>
        <v>556775.6539617217</v>
      </c>
      <c r="X99" s="209"/>
      <c r="AA99" t="s">
        <v>69</v>
      </c>
      <c r="AB99" s="205">
        <v>0</v>
      </c>
      <c r="AC99" s="205">
        <v>660</v>
      </c>
      <c r="AD99" s="205">
        <v>100</v>
      </c>
      <c r="AE99" s="205">
        <v>250000</v>
      </c>
      <c r="AF99" s="205">
        <v>250000</v>
      </c>
      <c r="AG99" s="206">
        <v>6.6638</v>
      </c>
      <c r="AH99" s="203">
        <f t="shared" si="10"/>
        <v>6.503467282644504</v>
      </c>
      <c r="AI99" s="204">
        <f t="shared" si="11"/>
        <v>1625866.820661126</v>
      </c>
    </row>
    <row r="100" spans="1:35" ht="12.75">
      <c r="A100" t="s">
        <v>284</v>
      </c>
      <c r="B100" s="196">
        <v>13568829.657169</v>
      </c>
      <c r="C100" s="196">
        <v>1859258413.0100002</v>
      </c>
      <c r="D100" s="196">
        <v>256361424.17869902</v>
      </c>
      <c r="E100" s="197">
        <v>2449114.02</v>
      </c>
      <c r="F100" s="196" t="s">
        <v>285</v>
      </c>
      <c r="O100" s="199">
        <v>41010</v>
      </c>
      <c r="P100" s="200" t="s">
        <v>134</v>
      </c>
      <c r="Q100" s="200">
        <v>101.6633</v>
      </c>
      <c r="R100" s="201">
        <v>5.9652</v>
      </c>
      <c r="S100" s="200">
        <v>6.1</v>
      </c>
      <c r="T100" s="200">
        <v>49560.85</v>
      </c>
      <c r="U100" s="202">
        <v>49560.85</v>
      </c>
      <c r="V100" s="203">
        <f t="shared" si="8"/>
        <v>5.9652285692354035</v>
      </c>
      <c r="W100" s="204">
        <f t="shared" si="9"/>
        <v>295641.79833559046</v>
      </c>
      <c r="X100" s="209"/>
      <c r="AA100" t="s">
        <v>69</v>
      </c>
      <c r="AB100" s="205">
        <v>6.5</v>
      </c>
      <c r="AC100" s="205">
        <v>720</v>
      </c>
      <c r="AD100" s="205">
        <v>100</v>
      </c>
      <c r="AE100" s="205">
        <v>400000</v>
      </c>
      <c r="AF100" s="205">
        <v>400000</v>
      </c>
      <c r="AG100" s="206">
        <v>6.6602</v>
      </c>
      <c r="AH100" s="203">
        <f t="shared" si="10"/>
        <v>6.500037274046466</v>
      </c>
      <c r="AI100" s="204">
        <f t="shared" si="11"/>
        <v>2600014.9096185863</v>
      </c>
    </row>
    <row r="101" spans="1:35" ht="12.75">
      <c r="A101" t="s">
        <v>406</v>
      </c>
      <c r="B101" s="196">
        <v>308732.92334</v>
      </c>
      <c r="C101" s="196">
        <v>14229958.4</v>
      </c>
      <c r="D101" s="196">
        <v>3183222.6361</v>
      </c>
      <c r="E101" s="197">
        <v>31763.3</v>
      </c>
      <c r="F101" s="196" t="s">
        <v>407</v>
      </c>
      <c r="O101" s="199">
        <v>40940</v>
      </c>
      <c r="P101" s="200" t="s">
        <v>134</v>
      </c>
      <c r="Q101" s="200">
        <v>100.7919</v>
      </c>
      <c r="R101" s="201">
        <v>6.5372</v>
      </c>
      <c r="S101" s="200">
        <v>6.6992</v>
      </c>
      <c r="T101" s="200">
        <v>388048.82</v>
      </c>
      <c r="U101" s="202">
        <v>388048.82</v>
      </c>
      <c r="V101" s="203">
        <f t="shared" si="8"/>
        <v>6.537191076781124</v>
      </c>
      <c r="W101" s="204">
        <f t="shared" si="9"/>
        <v>2536749.2834594445</v>
      </c>
      <c r="X101" s="209"/>
      <c r="AA101" t="s">
        <v>69</v>
      </c>
      <c r="AB101" s="205">
        <v>0</v>
      </c>
      <c r="AC101" s="205">
        <v>660</v>
      </c>
      <c r="AD101" s="205">
        <v>100</v>
      </c>
      <c r="AE101" s="205">
        <v>850000</v>
      </c>
      <c r="AF101" s="205">
        <v>850000</v>
      </c>
      <c r="AG101" s="206">
        <v>6.6638</v>
      </c>
      <c r="AH101" s="203">
        <f t="shared" si="10"/>
        <v>6.503467282644504</v>
      </c>
      <c r="AI101" s="204">
        <f t="shared" si="11"/>
        <v>5527947.190247828</v>
      </c>
    </row>
    <row r="102" spans="1:35" ht="12.75">
      <c r="A102" t="s">
        <v>73</v>
      </c>
      <c r="B102" s="196">
        <v>6160350.000000001</v>
      </c>
      <c r="C102" s="196">
        <v>1129500000</v>
      </c>
      <c r="D102" s="196">
        <v>75000000</v>
      </c>
      <c r="E102" s="197">
        <v>750000</v>
      </c>
      <c r="F102" s="196" t="s">
        <v>425</v>
      </c>
      <c r="O102" s="199">
        <v>40954</v>
      </c>
      <c r="P102" s="200" t="s">
        <v>134</v>
      </c>
      <c r="Q102" s="200">
        <v>102.1036</v>
      </c>
      <c r="R102" s="201">
        <v>6.8234</v>
      </c>
      <c r="S102" s="200">
        <v>7</v>
      </c>
      <c r="T102" s="200">
        <v>20420.72</v>
      </c>
      <c r="U102" s="202">
        <v>20420.72</v>
      </c>
      <c r="V102" s="203">
        <f t="shared" si="8"/>
        <v>6.82341000072455</v>
      </c>
      <c r="W102" s="204">
        <f t="shared" si="9"/>
        <v>139338.94506999585</v>
      </c>
      <c r="X102" s="209"/>
      <c r="AA102" t="s">
        <v>69</v>
      </c>
      <c r="AB102" s="205">
        <v>8.25</v>
      </c>
      <c r="AC102" s="205">
        <v>1056</v>
      </c>
      <c r="AD102" s="205">
        <v>99.9959</v>
      </c>
      <c r="AE102" s="205">
        <v>1879922.72</v>
      </c>
      <c r="AF102" s="205">
        <v>1880000</v>
      </c>
      <c r="AG102" s="206">
        <v>8.5088</v>
      </c>
      <c r="AH102" s="203">
        <f t="shared" si="10"/>
        <v>8.250035795761956</v>
      </c>
      <c r="AI102" s="204">
        <f t="shared" si="11"/>
        <v>15509429.73326618</v>
      </c>
    </row>
    <row r="103" spans="1:35" ht="12.75">
      <c r="A103" t="s">
        <v>4</v>
      </c>
      <c r="B103" s="196">
        <v>46721157.462953</v>
      </c>
      <c r="C103" s="196">
        <v>6283150574.4</v>
      </c>
      <c r="D103" s="196">
        <v>500444321.77781904</v>
      </c>
      <c r="E103" s="197">
        <v>4941442.68</v>
      </c>
      <c r="F103" s="196" t="s">
        <v>35</v>
      </c>
      <c r="O103" s="199">
        <v>40954</v>
      </c>
      <c r="P103" s="200" t="s">
        <v>134</v>
      </c>
      <c r="Q103" s="200">
        <v>102.1036</v>
      </c>
      <c r="R103" s="201">
        <v>6.8234</v>
      </c>
      <c r="S103" s="200">
        <v>7</v>
      </c>
      <c r="T103" s="200">
        <v>20420.72</v>
      </c>
      <c r="U103" s="202">
        <v>20420.72</v>
      </c>
      <c r="V103" s="203">
        <f t="shared" si="8"/>
        <v>6.82341000072455</v>
      </c>
      <c r="W103" s="204">
        <f t="shared" si="9"/>
        <v>139338.94506999585</v>
      </c>
      <c r="X103" s="209"/>
      <c r="AA103" t="s">
        <v>69</v>
      </c>
      <c r="AB103" s="205">
        <v>8.25</v>
      </c>
      <c r="AC103" s="205">
        <v>1056</v>
      </c>
      <c r="AD103" s="205">
        <v>99.9959</v>
      </c>
      <c r="AE103" s="205">
        <v>99995.9</v>
      </c>
      <c r="AF103" s="205">
        <v>100000</v>
      </c>
      <c r="AG103" s="206">
        <v>8.5088</v>
      </c>
      <c r="AH103" s="203">
        <f t="shared" si="10"/>
        <v>8.250035795761956</v>
      </c>
      <c r="AI103" s="204">
        <f t="shared" si="11"/>
        <v>824969.7544294329</v>
      </c>
    </row>
    <row r="104" spans="1:35" ht="12.75">
      <c r="A104" t="s">
        <v>158</v>
      </c>
      <c r="B104" s="196">
        <v>122844509.63466</v>
      </c>
      <c r="C104" s="196">
        <v>25099557246.48</v>
      </c>
      <c r="D104" s="196">
        <v>1399939174.0674891</v>
      </c>
      <c r="E104" s="197">
        <v>13999695.45</v>
      </c>
      <c r="F104" s="196" t="s">
        <v>408</v>
      </c>
      <c r="O104" s="199">
        <v>40954</v>
      </c>
      <c r="P104" s="200" t="s">
        <v>134</v>
      </c>
      <c r="Q104" s="200">
        <v>102.1036</v>
      </c>
      <c r="R104" s="201">
        <v>6.8234</v>
      </c>
      <c r="S104" s="200">
        <v>7</v>
      </c>
      <c r="T104" s="200">
        <v>20420.72</v>
      </c>
      <c r="U104" s="202">
        <v>20420.72</v>
      </c>
      <c r="V104" s="203">
        <f t="shared" si="8"/>
        <v>6.82341000072455</v>
      </c>
      <c r="W104" s="204">
        <f t="shared" si="9"/>
        <v>139338.94506999585</v>
      </c>
      <c r="X104" s="209"/>
      <c r="AA104" t="s">
        <v>69</v>
      </c>
      <c r="AB104" s="205">
        <v>8.2474</v>
      </c>
      <c r="AC104" s="205">
        <v>1056</v>
      </c>
      <c r="AD104" s="205">
        <v>100</v>
      </c>
      <c r="AE104" s="205">
        <v>100000</v>
      </c>
      <c r="AF104" s="205">
        <v>100000</v>
      </c>
      <c r="AG104" s="206">
        <v>8.506</v>
      </c>
      <c r="AH104" s="203">
        <f t="shared" si="10"/>
        <v>8.2474021126834</v>
      </c>
      <c r="AI104" s="204">
        <f t="shared" si="11"/>
        <v>824740.21126834</v>
      </c>
    </row>
    <row r="105" spans="1:35" ht="12.75">
      <c r="A105" t="s">
        <v>114</v>
      </c>
      <c r="B105" s="196">
        <v>90501851.93083298</v>
      </c>
      <c r="C105" s="196">
        <v>17565008086.38</v>
      </c>
      <c r="D105" s="196">
        <v>1358559505.7233312</v>
      </c>
      <c r="E105" s="197">
        <v>13585986.89</v>
      </c>
      <c r="F105" s="196" t="s">
        <v>409</v>
      </c>
      <c r="O105" s="199">
        <v>40996</v>
      </c>
      <c r="P105" s="200" t="s">
        <v>134</v>
      </c>
      <c r="Q105" s="200">
        <v>100.2552</v>
      </c>
      <c r="R105" s="201">
        <v>7.4398</v>
      </c>
      <c r="S105" s="200">
        <v>7.65</v>
      </c>
      <c r="T105" s="200">
        <v>80204.15</v>
      </c>
      <c r="U105" s="202">
        <v>80204.15</v>
      </c>
      <c r="V105" s="203">
        <f t="shared" si="8"/>
        <v>7.439846797374816</v>
      </c>
      <c r="W105" s="204">
        <f t="shared" si="9"/>
        <v>596706.5885136693</v>
      </c>
      <c r="X105" s="209"/>
      <c r="AA105" t="s">
        <v>69</v>
      </c>
      <c r="AB105" s="205">
        <v>0</v>
      </c>
      <c r="AC105" s="205">
        <v>1079</v>
      </c>
      <c r="AD105" s="205">
        <v>100.629</v>
      </c>
      <c r="AE105" s="205">
        <v>120754.8</v>
      </c>
      <c r="AF105" s="205">
        <v>120000</v>
      </c>
      <c r="AG105" s="206">
        <v>8.6683</v>
      </c>
      <c r="AH105" s="203">
        <f t="shared" si="10"/>
        <v>8.399977593367414</v>
      </c>
      <c r="AI105" s="204">
        <f t="shared" si="11"/>
        <v>1014337.6142915634</v>
      </c>
    </row>
    <row r="106" spans="1:35" ht="12.75">
      <c r="A106" t="s">
        <v>344</v>
      </c>
      <c r="B106" s="196">
        <v>5139032.229423001</v>
      </c>
      <c r="C106" s="196">
        <v>939596286.9</v>
      </c>
      <c r="D106" s="196">
        <v>72206528.36516939</v>
      </c>
      <c r="E106" s="197">
        <v>705785.56</v>
      </c>
      <c r="F106" s="196" t="s">
        <v>345</v>
      </c>
      <c r="O106" s="199">
        <v>40939</v>
      </c>
      <c r="P106" s="200" t="s">
        <v>103</v>
      </c>
      <c r="Q106" s="200">
        <v>102.6753</v>
      </c>
      <c r="R106" s="201">
        <v>7.4115</v>
      </c>
      <c r="S106" s="200">
        <v>7.62</v>
      </c>
      <c r="T106" s="200">
        <v>213282.26</v>
      </c>
      <c r="U106" s="202">
        <v>213282.26</v>
      </c>
      <c r="V106" s="203">
        <f t="shared" si="8"/>
        <v>7.411457403503885</v>
      </c>
      <c r="W106" s="204">
        <f t="shared" si="9"/>
        <v>1580732.3849130406</v>
      </c>
      <c r="X106" s="209"/>
      <c r="AA106" t="s">
        <v>69</v>
      </c>
      <c r="AB106" s="205">
        <v>0</v>
      </c>
      <c r="AC106" s="205">
        <v>1079</v>
      </c>
      <c r="AD106" s="205">
        <v>100.629</v>
      </c>
      <c r="AE106" s="205">
        <v>150943.5</v>
      </c>
      <c r="AF106" s="205">
        <v>150000</v>
      </c>
      <c r="AG106" s="206">
        <v>8.6683</v>
      </c>
      <c r="AH106" s="203">
        <f t="shared" si="10"/>
        <v>8.399977593367414</v>
      </c>
      <c r="AI106" s="204">
        <f t="shared" si="11"/>
        <v>1267922.0178644543</v>
      </c>
    </row>
    <row r="107" spans="1:35" ht="12.75">
      <c r="A107" s="187" t="s">
        <v>11</v>
      </c>
      <c r="B107" s="208">
        <f>SUM(B5:B106)</f>
        <v>5112480336.341259</v>
      </c>
      <c r="C107" s="208">
        <f>SUM(C5:C106)</f>
        <v>1255221928511.2695</v>
      </c>
      <c r="D107" s="208">
        <f>SUM(D5:D106)</f>
        <v>82078237370.22534</v>
      </c>
      <c r="E107" s="208">
        <f>SUM(E5:E106)</f>
        <v>687926477.51</v>
      </c>
      <c r="F107" s="216"/>
      <c r="O107" s="199">
        <v>40939</v>
      </c>
      <c r="P107" s="200" t="s">
        <v>103</v>
      </c>
      <c r="Q107" s="200">
        <v>102.6753</v>
      </c>
      <c r="R107" s="201">
        <v>7.4115</v>
      </c>
      <c r="S107" s="200">
        <v>7.62</v>
      </c>
      <c r="T107" s="200">
        <v>272277.82</v>
      </c>
      <c r="U107" s="202">
        <v>272277.82</v>
      </c>
      <c r="V107" s="203">
        <f t="shared" si="8"/>
        <v>7.411457403503885</v>
      </c>
      <c r="W107" s="204">
        <f t="shared" si="9"/>
        <v>2017975.4648488981</v>
      </c>
      <c r="X107" s="209"/>
      <c r="AA107" t="s">
        <v>69</v>
      </c>
      <c r="AB107" s="205">
        <v>8.4999</v>
      </c>
      <c r="AC107" s="205">
        <v>1799</v>
      </c>
      <c r="AD107" s="205">
        <v>100</v>
      </c>
      <c r="AE107" s="205">
        <v>100000</v>
      </c>
      <c r="AF107" s="205">
        <v>100000</v>
      </c>
      <c r="AG107" s="206">
        <v>8.7747</v>
      </c>
      <c r="AH107" s="203">
        <f t="shared" si="10"/>
        <v>8.499909707199915</v>
      </c>
      <c r="AI107" s="204">
        <f t="shared" si="11"/>
        <v>849990.9707199915</v>
      </c>
    </row>
    <row r="108" spans="2:35" ht="12.75">
      <c r="B108" s="208"/>
      <c r="C108" s="208"/>
      <c r="D108" s="208"/>
      <c r="E108" s="208"/>
      <c r="O108" s="199">
        <v>40913</v>
      </c>
      <c r="P108" s="200" t="s">
        <v>103</v>
      </c>
      <c r="Q108" s="200">
        <v>101.3055</v>
      </c>
      <c r="R108" s="201">
        <v>8.2</v>
      </c>
      <c r="S108" s="200">
        <v>8.4556</v>
      </c>
      <c r="T108" s="200">
        <v>506527.5</v>
      </c>
      <c r="U108" s="202">
        <v>506527.5</v>
      </c>
      <c r="V108" s="203">
        <f t="shared" si="8"/>
        <v>8.19998709879366</v>
      </c>
      <c r="W108" s="204">
        <f t="shared" si="9"/>
        <v>4153518.965184205</v>
      </c>
      <c r="X108" s="209"/>
      <c r="AA108" t="s">
        <v>69</v>
      </c>
      <c r="AB108" s="205">
        <v>8.5</v>
      </c>
      <c r="AC108" s="205">
        <v>1800</v>
      </c>
      <c r="AD108" s="205">
        <v>100</v>
      </c>
      <c r="AE108" s="205">
        <v>3000000</v>
      </c>
      <c r="AF108" s="205">
        <v>3000000</v>
      </c>
      <c r="AG108" s="206">
        <v>8.7748</v>
      </c>
      <c r="AH108" s="203">
        <f t="shared" si="10"/>
        <v>8.500003593868666</v>
      </c>
      <c r="AI108" s="204">
        <f t="shared" si="11"/>
        <v>25500010.781605996</v>
      </c>
    </row>
    <row r="109" spans="2:35" ht="12.75">
      <c r="B109" s="205"/>
      <c r="D109" s="217"/>
      <c r="O109" s="199">
        <v>40934</v>
      </c>
      <c r="P109" s="200" t="s">
        <v>103</v>
      </c>
      <c r="Q109" s="200">
        <v>102.377726</v>
      </c>
      <c r="R109" s="201">
        <v>7.5912</v>
      </c>
      <c r="S109" s="200">
        <v>7.81</v>
      </c>
      <c r="T109" s="200">
        <v>484152.84</v>
      </c>
      <c r="U109" s="202">
        <v>484152.84</v>
      </c>
      <c r="V109" s="203">
        <f t="shared" si="8"/>
        <v>7.5911567656317125</v>
      </c>
      <c r="W109" s="204">
        <f t="shared" si="9"/>
        <v>3675280.106965808</v>
      </c>
      <c r="X109" s="209"/>
      <c r="AA109" t="s">
        <v>69</v>
      </c>
      <c r="AB109" s="205">
        <v>8.2467</v>
      </c>
      <c r="AC109" s="205">
        <v>1041</v>
      </c>
      <c r="AD109" s="205">
        <v>100</v>
      </c>
      <c r="AE109" s="205">
        <v>130000</v>
      </c>
      <c r="AF109" s="205">
        <v>130000</v>
      </c>
      <c r="AG109" s="206">
        <v>8.5052</v>
      </c>
      <c r="AH109" s="203">
        <f t="shared" si="10"/>
        <v>8.246649622441637</v>
      </c>
      <c r="AI109" s="204">
        <f t="shared" si="11"/>
        <v>1072064.4509174128</v>
      </c>
    </row>
    <row r="110" spans="1:35" ht="12.75">
      <c r="A110" s="184" t="s">
        <v>25</v>
      </c>
      <c r="B110" s="184" t="s">
        <v>19</v>
      </c>
      <c r="C110" s="184" t="s">
        <v>6</v>
      </c>
      <c r="D110" s="184" t="s">
        <v>20</v>
      </c>
      <c r="E110" s="184" t="s">
        <v>21</v>
      </c>
      <c r="F110" s="184"/>
      <c r="O110" s="199">
        <v>40966</v>
      </c>
      <c r="P110" s="200" t="s">
        <v>103</v>
      </c>
      <c r="Q110" s="200">
        <v>102.4233</v>
      </c>
      <c r="R110" s="201">
        <v>7.5</v>
      </c>
      <c r="S110" s="200">
        <v>7.7136</v>
      </c>
      <c r="T110" s="200">
        <v>204846.62</v>
      </c>
      <c r="U110" s="202">
        <v>204846.62</v>
      </c>
      <c r="V110" s="203">
        <f t="shared" si="8"/>
        <v>7.500012694114311</v>
      </c>
      <c r="W110" s="204">
        <f t="shared" si="9"/>
        <v>1536352.2503464103</v>
      </c>
      <c r="X110" s="209"/>
      <c r="AA110" t="s">
        <v>69</v>
      </c>
      <c r="AB110" s="205">
        <v>8.2466</v>
      </c>
      <c r="AC110" s="205">
        <v>1040</v>
      </c>
      <c r="AD110" s="205">
        <v>100</v>
      </c>
      <c r="AE110" s="205">
        <v>200000</v>
      </c>
      <c r="AF110" s="205">
        <v>200000</v>
      </c>
      <c r="AG110" s="206">
        <v>8.5052</v>
      </c>
      <c r="AH110" s="203">
        <f t="shared" si="10"/>
        <v>8.246649622441637</v>
      </c>
      <c r="AI110" s="204">
        <f t="shared" si="11"/>
        <v>1649329.9244883275</v>
      </c>
    </row>
    <row r="111" spans="1:35" ht="12.75">
      <c r="A111" t="str">
        <f aca="true" t="shared" si="12" ref="A111:A174">+A5</f>
        <v>1 TIT CARTERA COMERCIAL IIASA</v>
      </c>
      <c r="B111" s="208">
        <f>+E5</f>
        <v>140000</v>
      </c>
      <c r="C111" s="218">
        <f>+B5/E5</f>
        <v>6.6617</v>
      </c>
      <c r="D111" s="219">
        <f aca="true" t="shared" si="13" ref="D111:D174">+C5/E5</f>
        <v>646</v>
      </c>
      <c r="E111" s="212">
        <f aca="true" t="shared" si="14" ref="E111:E174">+D5/E5</f>
        <v>100</v>
      </c>
      <c r="F111" s="212">
        <f>+D111/360</f>
        <v>1.7944444444444445</v>
      </c>
      <c r="O111" s="199">
        <v>40947</v>
      </c>
      <c r="P111" s="200" t="s">
        <v>124</v>
      </c>
      <c r="Q111" s="200">
        <v>96.768</v>
      </c>
      <c r="R111" s="201">
        <v>0</v>
      </c>
      <c r="S111" s="200">
        <v>9.5758</v>
      </c>
      <c r="T111" s="200">
        <v>967679.62</v>
      </c>
      <c r="U111" s="202">
        <v>967679.62</v>
      </c>
      <c r="V111" s="203">
        <f t="shared" si="8"/>
        <v>9.249967736011477</v>
      </c>
      <c r="W111" s="204">
        <f t="shared" si="9"/>
        <v>8951005.263795847</v>
      </c>
      <c r="X111" s="209"/>
      <c r="AA111" t="s">
        <v>69</v>
      </c>
      <c r="AB111" s="205">
        <v>8.4975</v>
      </c>
      <c r="AC111" s="205">
        <v>1758</v>
      </c>
      <c r="AD111" s="205">
        <v>100</v>
      </c>
      <c r="AE111" s="205">
        <v>25000</v>
      </c>
      <c r="AF111" s="205">
        <v>25000</v>
      </c>
      <c r="AG111" s="206">
        <v>8.7721</v>
      </c>
      <c r="AH111" s="203">
        <f t="shared" si="10"/>
        <v>8.497468631091465</v>
      </c>
      <c r="AI111" s="204">
        <f t="shared" si="11"/>
        <v>212436.71577728662</v>
      </c>
    </row>
    <row r="112" spans="1:35" ht="12.75">
      <c r="A112" t="str">
        <f t="shared" si="12"/>
        <v>2 TIT CART COMERCIAL IIASA TRAMO III</v>
      </c>
      <c r="B112" s="208">
        <f aca="true" t="shared" si="15" ref="B112:B175">+E6</f>
        <v>36375.03</v>
      </c>
      <c r="C112" s="218">
        <f aca="true" t="shared" si="16" ref="C112:C175">+B6/E6</f>
        <v>6.1388</v>
      </c>
      <c r="D112" s="219">
        <f t="shared" si="13"/>
        <v>494.99999999999994</v>
      </c>
      <c r="E112" s="212">
        <f t="shared" si="14"/>
        <v>100.3449</v>
      </c>
      <c r="F112" s="212">
        <f aca="true" t="shared" si="17" ref="F112:F175">+D112/360</f>
        <v>1.3749999999999998</v>
      </c>
      <c r="O112" s="199">
        <v>40947</v>
      </c>
      <c r="P112" s="200" t="s">
        <v>124</v>
      </c>
      <c r="Q112" s="200">
        <v>96.768</v>
      </c>
      <c r="R112" s="201">
        <v>0</v>
      </c>
      <c r="S112" s="200">
        <v>9.5758</v>
      </c>
      <c r="T112" s="200">
        <v>967679.62</v>
      </c>
      <c r="U112" s="202">
        <v>967679.62</v>
      </c>
      <c r="V112" s="203">
        <f t="shared" si="8"/>
        <v>9.249967736011477</v>
      </c>
      <c r="W112" s="204">
        <f t="shared" si="9"/>
        <v>8951005.263795847</v>
      </c>
      <c r="X112" s="209"/>
      <c r="AA112" t="s">
        <v>69</v>
      </c>
      <c r="AB112" s="205">
        <v>8.2467</v>
      </c>
      <c r="AC112" s="205">
        <v>1043</v>
      </c>
      <c r="AD112" s="205">
        <v>100</v>
      </c>
      <c r="AE112" s="205">
        <v>15000</v>
      </c>
      <c r="AF112" s="205">
        <v>15000</v>
      </c>
      <c r="AG112" s="206">
        <v>8.5053</v>
      </c>
      <c r="AH112" s="203">
        <f t="shared" si="10"/>
        <v>8.246743683949465</v>
      </c>
      <c r="AI112" s="204">
        <f t="shared" si="11"/>
        <v>123701.15525924196</v>
      </c>
    </row>
    <row r="113" spans="1:35" ht="12.75">
      <c r="A113" t="str">
        <f t="shared" si="12"/>
        <v>2 TIT CARTERA COMERCIAL IIASA</v>
      </c>
      <c r="B113" s="208">
        <f t="shared" si="15"/>
        <v>1747165.28</v>
      </c>
      <c r="C113" s="218">
        <f t="shared" si="16"/>
        <v>5.970177991654001</v>
      </c>
      <c r="D113" s="219">
        <f t="shared" si="13"/>
        <v>359.4850978838133</v>
      </c>
      <c r="E113" s="212">
        <f t="shared" si="14"/>
        <v>100.31311343683392</v>
      </c>
      <c r="F113" s="212">
        <f t="shared" si="17"/>
        <v>0.9985697163439258</v>
      </c>
      <c r="O113" s="199">
        <v>40947</v>
      </c>
      <c r="P113" s="200" t="s">
        <v>124</v>
      </c>
      <c r="Q113" s="200">
        <v>96.768</v>
      </c>
      <c r="R113" s="201">
        <v>0</v>
      </c>
      <c r="S113" s="200">
        <v>9.5758</v>
      </c>
      <c r="T113" s="200">
        <v>967679.62</v>
      </c>
      <c r="U113" s="202">
        <v>967679.62</v>
      </c>
      <c r="V113" s="203">
        <f t="shared" si="8"/>
        <v>9.249967736011477</v>
      </c>
      <c r="W113" s="204">
        <f t="shared" si="9"/>
        <v>8951005.263795847</v>
      </c>
      <c r="X113" s="209"/>
      <c r="AA113" t="s">
        <v>69</v>
      </c>
      <c r="AB113" s="205">
        <v>6.8</v>
      </c>
      <c r="AC113" s="205">
        <v>400</v>
      </c>
      <c r="AD113" s="205">
        <v>99.8362</v>
      </c>
      <c r="AE113" s="205">
        <v>378574.17</v>
      </c>
      <c r="AF113" s="205">
        <v>379195</v>
      </c>
      <c r="AG113" s="206">
        <v>6.9754</v>
      </c>
      <c r="AH113" s="203">
        <f t="shared" si="10"/>
        <v>6.800025143648369</v>
      </c>
      <c r="AI113" s="204">
        <f t="shared" si="11"/>
        <v>2574313.874735812</v>
      </c>
    </row>
    <row r="114" spans="1:35" ht="12.75">
      <c r="A114" t="str">
        <f t="shared" si="12"/>
        <v>3 TIT CART COMERCIAL IIASA</v>
      </c>
      <c r="B114" s="208">
        <f t="shared" si="15"/>
        <v>7722476.88</v>
      </c>
      <c r="C114" s="218">
        <f t="shared" si="16"/>
        <v>6.662255040144063</v>
      </c>
      <c r="D114" s="219">
        <f t="shared" si="13"/>
        <v>687.7107872403238</v>
      </c>
      <c r="E114" s="212">
        <f t="shared" si="14"/>
        <v>99.99970062376983</v>
      </c>
      <c r="F114" s="212">
        <f t="shared" si="17"/>
        <v>1.910307742334233</v>
      </c>
      <c r="O114" s="199">
        <v>40947</v>
      </c>
      <c r="P114" s="200" t="s">
        <v>124</v>
      </c>
      <c r="Q114" s="200">
        <v>96.768</v>
      </c>
      <c r="R114" s="201">
        <v>0</v>
      </c>
      <c r="S114" s="200">
        <v>9.5758</v>
      </c>
      <c r="T114" s="200">
        <v>967679.62</v>
      </c>
      <c r="U114" s="202">
        <v>967679.62</v>
      </c>
      <c r="V114" s="203">
        <f t="shared" si="8"/>
        <v>9.249967736011477</v>
      </c>
      <c r="W114" s="204">
        <f t="shared" si="9"/>
        <v>8951005.263795847</v>
      </c>
      <c r="AA114" t="s">
        <v>69</v>
      </c>
      <c r="AB114" s="205">
        <v>7.9981</v>
      </c>
      <c r="AC114" s="205">
        <v>1329</v>
      </c>
      <c r="AD114" s="205">
        <v>100</v>
      </c>
      <c r="AE114" s="205">
        <v>709762.41</v>
      </c>
      <c r="AF114" s="205">
        <v>709762.41</v>
      </c>
      <c r="AG114" s="206">
        <v>8.2412</v>
      </c>
      <c r="AH114" s="203">
        <f t="shared" si="10"/>
        <v>7.998100264905261</v>
      </c>
      <c r="AI114" s="204">
        <f t="shared" si="11"/>
        <v>5676750.919440797</v>
      </c>
    </row>
    <row r="115" spans="1:35" ht="12.75">
      <c r="A115" t="str">
        <f t="shared" si="12"/>
        <v>3 TIT CARTERA COMERCIAL IIASA TRAMO II</v>
      </c>
      <c r="B115" s="208">
        <f t="shared" si="15"/>
        <v>8000000</v>
      </c>
      <c r="C115" s="218">
        <f t="shared" si="16"/>
        <v>6.662411375</v>
      </c>
      <c r="D115" s="219">
        <f t="shared" si="13"/>
        <v>690.2625</v>
      </c>
      <c r="E115" s="212">
        <f t="shared" si="14"/>
        <v>100</v>
      </c>
      <c r="F115" s="212">
        <f t="shared" si="17"/>
        <v>1.9173958333333334</v>
      </c>
      <c r="O115" s="199">
        <v>40927</v>
      </c>
      <c r="P115" s="200" t="s">
        <v>124</v>
      </c>
      <c r="Q115" s="200">
        <v>96.7678</v>
      </c>
      <c r="R115" s="201">
        <v>9.25</v>
      </c>
      <c r="S115" s="200">
        <v>9.5758</v>
      </c>
      <c r="T115" s="200">
        <v>967678</v>
      </c>
      <c r="U115" s="202">
        <v>967678</v>
      </c>
      <c r="V115" s="203">
        <f t="shared" si="8"/>
        <v>9.249967736011477</v>
      </c>
      <c r="W115" s="204">
        <f t="shared" si="9"/>
        <v>8950990.278848113</v>
      </c>
      <c r="X115" s="209"/>
      <c r="AA115" t="s">
        <v>69</v>
      </c>
      <c r="AB115" s="205">
        <v>8.2467</v>
      </c>
      <c r="AC115" s="205">
        <v>1042</v>
      </c>
      <c r="AD115" s="205">
        <v>100</v>
      </c>
      <c r="AE115" s="205">
        <v>200000</v>
      </c>
      <c r="AF115" s="205">
        <v>200000</v>
      </c>
      <c r="AG115" s="206">
        <v>8.5052</v>
      </c>
      <c r="AH115" s="203">
        <f t="shared" si="10"/>
        <v>8.246649622441637</v>
      </c>
      <c r="AI115" s="204">
        <f t="shared" si="11"/>
        <v>1649329.9244883275</v>
      </c>
    </row>
    <row r="116" spans="1:35" ht="12.75">
      <c r="A116" t="str">
        <f t="shared" si="12"/>
        <v>FID 1 TIT BANCO PROMERICA CART HIP VIVIE</v>
      </c>
      <c r="B116" s="208">
        <f t="shared" si="15"/>
        <v>503144.19</v>
      </c>
      <c r="C116" s="218">
        <f t="shared" si="16"/>
        <v>9.3511</v>
      </c>
      <c r="D116" s="219">
        <f t="shared" si="13"/>
        <v>4346.000000000001</v>
      </c>
      <c r="E116" s="212">
        <f t="shared" si="14"/>
        <v>100.6288</v>
      </c>
      <c r="F116" s="212">
        <f t="shared" si="17"/>
        <v>12.072222222222225</v>
      </c>
      <c r="O116" s="199">
        <v>40927</v>
      </c>
      <c r="P116" s="200" t="s">
        <v>124</v>
      </c>
      <c r="Q116" s="200">
        <v>96.7678</v>
      </c>
      <c r="R116" s="201">
        <v>9.25</v>
      </c>
      <c r="S116" s="200">
        <v>9.5758</v>
      </c>
      <c r="T116" s="200">
        <v>774142.4</v>
      </c>
      <c r="U116" s="202">
        <v>774142.4</v>
      </c>
      <c r="V116" s="203">
        <f t="shared" si="8"/>
        <v>9.249967736011477</v>
      </c>
      <c r="W116" s="204">
        <f t="shared" si="9"/>
        <v>7160792.223078492</v>
      </c>
      <c r="X116" s="209"/>
      <c r="AA116" t="s">
        <v>69</v>
      </c>
      <c r="AB116" s="205">
        <v>7.998</v>
      </c>
      <c r="AC116" s="205">
        <v>1328</v>
      </c>
      <c r="AD116" s="205">
        <v>100</v>
      </c>
      <c r="AE116" s="205">
        <v>99366.74</v>
      </c>
      <c r="AF116" s="205">
        <v>99366.74</v>
      </c>
      <c r="AG116" s="206">
        <v>8.2411</v>
      </c>
      <c r="AH116" s="203">
        <f t="shared" si="10"/>
        <v>7.998006031322813</v>
      </c>
      <c r="AI116" s="204">
        <f t="shared" si="11"/>
        <v>794735.7858328859</v>
      </c>
    </row>
    <row r="117" spans="1:35" ht="12.75">
      <c r="A117" t="str">
        <f t="shared" si="12"/>
        <v>FID 2° TIT CART AUTOMOTRIZ - CFC</v>
      </c>
      <c r="B117" s="208">
        <f t="shared" si="15"/>
        <v>788733.76</v>
      </c>
      <c r="C117" s="218">
        <f t="shared" si="16"/>
        <v>8.34876866755266</v>
      </c>
      <c r="D117" s="219">
        <f t="shared" si="13"/>
        <v>880.1491436223041</v>
      </c>
      <c r="E117" s="212">
        <f t="shared" si="14"/>
        <v>99.84098116614153</v>
      </c>
      <c r="F117" s="212">
        <f t="shared" si="17"/>
        <v>2.444858732284178</v>
      </c>
      <c r="O117" s="199">
        <v>40927</v>
      </c>
      <c r="P117" s="200" t="s">
        <v>124</v>
      </c>
      <c r="Q117" s="200">
        <v>96.7678</v>
      </c>
      <c r="R117" s="201">
        <v>9.25</v>
      </c>
      <c r="S117" s="200">
        <v>9.5758</v>
      </c>
      <c r="T117" s="200">
        <v>677374.6</v>
      </c>
      <c r="U117" s="202">
        <v>677374.6</v>
      </c>
      <c r="V117" s="203">
        <f t="shared" si="8"/>
        <v>9.249967736011477</v>
      </c>
      <c r="W117" s="204">
        <f t="shared" si="9"/>
        <v>6265693.19519368</v>
      </c>
      <c r="X117" s="209"/>
      <c r="AA117" t="s">
        <v>69</v>
      </c>
      <c r="AB117" s="205">
        <v>8.4983</v>
      </c>
      <c r="AC117" s="205">
        <v>1780</v>
      </c>
      <c r="AD117" s="205">
        <v>100</v>
      </c>
      <c r="AE117" s="205">
        <v>120000</v>
      </c>
      <c r="AF117" s="205">
        <v>120000</v>
      </c>
      <c r="AG117" s="206">
        <v>8.773</v>
      </c>
      <c r="AH117" s="203">
        <f t="shared" si="10"/>
        <v>8.498313623927523</v>
      </c>
      <c r="AI117" s="204">
        <f t="shared" si="11"/>
        <v>1019797.6348713028</v>
      </c>
    </row>
    <row r="118" spans="1:35" ht="12.75">
      <c r="A118" t="str">
        <f t="shared" si="12"/>
        <v>FID DE TIT DE FLUJOS - TECFOOD</v>
      </c>
      <c r="B118" s="208">
        <f t="shared" si="15"/>
        <v>1087512.39</v>
      </c>
      <c r="C118" s="218">
        <f t="shared" si="16"/>
        <v>7.819518187896692</v>
      </c>
      <c r="D118" s="219">
        <f t="shared" si="13"/>
        <v>1228.322153598636</v>
      </c>
      <c r="E118" s="212">
        <f t="shared" si="14"/>
        <v>99.94505012508318</v>
      </c>
      <c r="F118" s="212">
        <f t="shared" si="17"/>
        <v>3.4120059822184334</v>
      </c>
      <c r="O118" s="199">
        <v>40912</v>
      </c>
      <c r="P118" s="200" t="s">
        <v>124</v>
      </c>
      <c r="Q118" s="200">
        <v>100</v>
      </c>
      <c r="R118" s="201">
        <v>8.5</v>
      </c>
      <c r="S118" s="200">
        <v>8.7748</v>
      </c>
      <c r="T118" s="200">
        <v>1000000</v>
      </c>
      <c r="U118" s="202">
        <v>1000000</v>
      </c>
      <c r="V118" s="203">
        <f t="shared" si="8"/>
        <v>8.500003593868666</v>
      </c>
      <c r="W118" s="204">
        <f t="shared" si="9"/>
        <v>8500003.593868665</v>
      </c>
      <c r="X118" s="209"/>
      <c r="AA118" t="s">
        <v>69</v>
      </c>
      <c r="AB118" s="205">
        <v>8.4996</v>
      </c>
      <c r="AC118" s="205">
        <v>1796</v>
      </c>
      <c r="AD118" s="205">
        <v>100</v>
      </c>
      <c r="AE118" s="205">
        <v>15000</v>
      </c>
      <c r="AF118" s="205">
        <v>15000</v>
      </c>
      <c r="AG118" s="206">
        <v>8.7744</v>
      </c>
      <c r="AH118" s="203">
        <f t="shared" si="10"/>
        <v>8.49962804680544</v>
      </c>
      <c r="AI118" s="204">
        <f t="shared" si="11"/>
        <v>127494.42070208161</v>
      </c>
    </row>
    <row r="119" spans="1:35" ht="12.75">
      <c r="A119" t="str">
        <f t="shared" si="12"/>
        <v>FID I TIT CARTERA VIVIENDA 29 DE OCTUBRE</v>
      </c>
      <c r="B119" s="208">
        <f t="shared" si="15"/>
        <v>4049998.16</v>
      </c>
      <c r="C119" s="218">
        <f t="shared" si="16"/>
        <v>8.460059237115308</v>
      </c>
      <c r="D119" s="219">
        <f t="shared" si="13"/>
        <v>1639.80256036462</v>
      </c>
      <c r="E119" s="212">
        <f t="shared" si="14"/>
        <v>99.99996049390008</v>
      </c>
      <c r="F119" s="212">
        <f t="shared" si="17"/>
        <v>4.555007112123945</v>
      </c>
      <c r="O119" s="199">
        <v>40912</v>
      </c>
      <c r="P119" s="200" t="s">
        <v>124</v>
      </c>
      <c r="Q119" s="200">
        <v>100</v>
      </c>
      <c r="R119" s="201">
        <v>7.5</v>
      </c>
      <c r="S119" s="200">
        <v>7.7136</v>
      </c>
      <c r="T119" s="200">
        <v>4000000</v>
      </c>
      <c r="U119" s="202">
        <v>4000000</v>
      </c>
      <c r="V119" s="203">
        <f t="shared" si="8"/>
        <v>7.500012694114311</v>
      </c>
      <c r="W119" s="204">
        <f t="shared" si="9"/>
        <v>30000050.776457243</v>
      </c>
      <c r="X119" s="209"/>
      <c r="AA119" t="s">
        <v>69</v>
      </c>
      <c r="AB119" s="205">
        <v>8.4996</v>
      </c>
      <c r="AC119" s="205">
        <v>1796</v>
      </c>
      <c r="AD119" s="205">
        <v>100</v>
      </c>
      <c r="AE119" s="205">
        <v>5000</v>
      </c>
      <c r="AF119" s="205">
        <v>5000</v>
      </c>
      <c r="AG119" s="206">
        <v>8.7744</v>
      </c>
      <c r="AH119" s="203">
        <f t="shared" si="10"/>
        <v>8.49962804680544</v>
      </c>
      <c r="AI119" s="204">
        <f t="shared" si="11"/>
        <v>42498.1402340272</v>
      </c>
    </row>
    <row r="120" spans="1:35" ht="12.75">
      <c r="A120" t="str">
        <f t="shared" si="12"/>
        <v>FID I TIT FLUJOS FYBECA</v>
      </c>
      <c r="B120" s="208">
        <f t="shared" si="15"/>
        <v>13107631.39</v>
      </c>
      <c r="C120" s="218">
        <f t="shared" si="16"/>
        <v>7.685861353627826</v>
      </c>
      <c r="D120" s="219">
        <f t="shared" si="13"/>
        <v>1796.1794641136912</v>
      </c>
      <c r="E120" s="212">
        <f t="shared" si="14"/>
        <v>100.05910379947875</v>
      </c>
      <c r="F120" s="212">
        <f t="shared" si="17"/>
        <v>4.989387400315809</v>
      </c>
      <c r="O120" s="199">
        <v>40934</v>
      </c>
      <c r="P120" s="200" t="s">
        <v>124</v>
      </c>
      <c r="Q120" s="200">
        <v>96.7739</v>
      </c>
      <c r="R120" s="201">
        <v>0</v>
      </c>
      <c r="S120" s="200">
        <v>9.5758</v>
      </c>
      <c r="T120" s="200">
        <v>193547.8</v>
      </c>
      <c r="U120" s="202">
        <v>193547.8</v>
      </c>
      <c r="V120" s="203">
        <f t="shared" si="8"/>
        <v>9.249967736011477</v>
      </c>
      <c r="W120" s="204">
        <f t="shared" si="9"/>
        <v>1790310.9053760022</v>
      </c>
      <c r="X120" s="209"/>
      <c r="AA120" t="s">
        <v>69</v>
      </c>
      <c r="AB120" s="205">
        <v>8.4975</v>
      </c>
      <c r="AC120" s="205">
        <v>1750</v>
      </c>
      <c r="AD120" s="205">
        <v>100</v>
      </c>
      <c r="AE120" s="205">
        <v>150000</v>
      </c>
      <c r="AF120" s="205">
        <v>150000</v>
      </c>
      <c r="AG120" s="206">
        <v>8.7721</v>
      </c>
      <c r="AH120" s="203">
        <f t="shared" si="10"/>
        <v>8.497468631091465</v>
      </c>
      <c r="AI120" s="204">
        <f t="shared" si="11"/>
        <v>1274620.2946637198</v>
      </c>
    </row>
    <row r="121" spans="1:35" ht="12.75">
      <c r="A121" t="str">
        <f t="shared" si="12"/>
        <v>FID I TIT INT FOOD SERVICES CORP</v>
      </c>
      <c r="B121" s="208">
        <f t="shared" si="15"/>
        <v>1639190.95</v>
      </c>
      <c r="C121" s="218">
        <f t="shared" si="16"/>
        <v>6.709951990678084</v>
      </c>
      <c r="D121" s="219">
        <f t="shared" si="13"/>
        <v>514.2606003162718</v>
      </c>
      <c r="E121" s="212">
        <f t="shared" si="14"/>
        <v>99.88502539230859</v>
      </c>
      <c r="F121" s="212">
        <f t="shared" si="17"/>
        <v>1.4285016675451996</v>
      </c>
      <c r="O121" s="199">
        <v>40934</v>
      </c>
      <c r="P121" s="200" t="s">
        <v>124</v>
      </c>
      <c r="Q121" s="200">
        <v>96.7739</v>
      </c>
      <c r="R121" s="201">
        <v>0</v>
      </c>
      <c r="S121" s="200">
        <v>9.5758</v>
      </c>
      <c r="T121" s="200">
        <v>290321.68</v>
      </c>
      <c r="U121" s="202">
        <v>290321.68</v>
      </c>
      <c r="V121" s="203">
        <f aca="true" t="shared" si="18" ref="V121:V138">+((1+S121/100)^(90/360)-1)*(400)</f>
        <v>9.249967736011477</v>
      </c>
      <c r="W121" s="204">
        <f aca="true" t="shared" si="19" ref="W121:W138">+V121*T121</f>
        <v>2685466.1730646486</v>
      </c>
      <c r="X121" s="209"/>
      <c r="AA121" t="s">
        <v>69</v>
      </c>
      <c r="AB121" s="205">
        <v>8.4975</v>
      </c>
      <c r="AC121" s="205">
        <v>1746</v>
      </c>
      <c r="AD121" s="205">
        <v>100</v>
      </c>
      <c r="AE121" s="205">
        <v>100000</v>
      </c>
      <c r="AF121" s="205">
        <v>100000</v>
      </c>
      <c r="AG121" s="206">
        <v>8.7722</v>
      </c>
      <c r="AH121" s="203">
        <f aca="true" t="shared" si="20" ref="AH121:AH138">+((1+AG121/100)^(90/360)-1)*(400)</f>
        <v>8.497562519443314</v>
      </c>
      <c r="AI121" s="204">
        <f aca="true" t="shared" si="21" ref="AI121:AI138">+AH121*AE121</f>
        <v>849756.2519443313</v>
      </c>
    </row>
    <row r="122" spans="1:35" ht="12.75">
      <c r="A122" t="str">
        <f t="shared" si="12"/>
        <v>FID II TIT DE FLUJOS NESTLE ECUADOR</v>
      </c>
      <c r="B122" s="208">
        <f t="shared" si="15"/>
        <v>2497919.31</v>
      </c>
      <c r="C122" s="218">
        <f t="shared" si="16"/>
        <v>7.137825152890547</v>
      </c>
      <c r="D122" s="219">
        <f t="shared" si="13"/>
        <v>1029.0686811776961</v>
      </c>
      <c r="E122" s="212">
        <f t="shared" si="14"/>
        <v>100.70114553031499</v>
      </c>
      <c r="F122" s="212">
        <f t="shared" si="17"/>
        <v>2.8585241143824893</v>
      </c>
      <c r="O122" s="199">
        <v>40934</v>
      </c>
      <c r="P122" s="200" t="s">
        <v>124</v>
      </c>
      <c r="Q122" s="200">
        <v>96.768</v>
      </c>
      <c r="R122" s="201">
        <v>0</v>
      </c>
      <c r="S122" s="200">
        <v>9.5758</v>
      </c>
      <c r="T122" s="200">
        <v>967679.62</v>
      </c>
      <c r="U122" s="202">
        <v>967679.62</v>
      </c>
      <c r="V122" s="203">
        <f t="shared" si="18"/>
        <v>9.249967736011477</v>
      </c>
      <c r="W122" s="204">
        <f t="shared" si="19"/>
        <v>8951005.263795847</v>
      </c>
      <c r="X122" s="209"/>
      <c r="AA122" t="s">
        <v>69</v>
      </c>
      <c r="AB122" s="205">
        <v>5.678</v>
      </c>
      <c r="AC122" s="205">
        <v>1417</v>
      </c>
      <c r="AD122" s="205">
        <v>103.6164</v>
      </c>
      <c r="AE122" s="205">
        <v>103616.41</v>
      </c>
      <c r="AF122" s="205">
        <v>100000</v>
      </c>
      <c r="AG122" s="206">
        <v>5.8</v>
      </c>
      <c r="AH122" s="203">
        <f t="shared" si="20"/>
        <v>5.677954964260401</v>
      </c>
      <c r="AI122" s="204">
        <f t="shared" si="21"/>
        <v>588329.3095383411</v>
      </c>
    </row>
    <row r="123" spans="1:35" ht="12.75">
      <c r="A123" t="str">
        <f t="shared" si="12"/>
        <v>FID II TIT INT FOOD SERVICES CORP</v>
      </c>
      <c r="B123" s="208">
        <f t="shared" si="15"/>
        <v>1000000</v>
      </c>
      <c r="C123" s="218">
        <f t="shared" si="16"/>
        <v>6.6905</v>
      </c>
      <c r="D123" s="219">
        <f t="shared" si="13"/>
        <v>1107</v>
      </c>
      <c r="E123" s="212">
        <f t="shared" si="14"/>
        <v>100</v>
      </c>
      <c r="F123" s="212">
        <f t="shared" si="17"/>
        <v>3.075</v>
      </c>
      <c r="O123" s="199">
        <v>40934</v>
      </c>
      <c r="P123" s="200" t="s">
        <v>124</v>
      </c>
      <c r="Q123" s="200">
        <v>100</v>
      </c>
      <c r="R123" s="201">
        <v>0</v>
      </c>
      <c r="S123" s="200">
        <v>7.7136</v>
      </c>
      <c r="T123" s="200">
        <v>999999.71</v>
      </c>
      <c r="U123" s="202">
        <v>999999.71</v>
      </c>
      <c r="V123" s="203">
        <f t="shared" si="18"/>
        <v>7.500012694114311</v>
      </c>
      <c r="W123" s="204">
        <f t="shared" si="19"/>
        <v>7500010.519110629</v>
      </c>
      <c r="X123" s="209"/>
      <c r="AA123" t="s">
        <v>69</v>
      </c>
      <c r="AB123" s="205">
        <v>8.5</v>
      </c>
      <c r="AC123" s="205">
        <v>1786</v>
      </c>
      <c r="AD123" s="205">
        <v>99.9971</v>
      </c>
      <c r="AE123" s="205">
        <v>4679862.99</v>
      </c>
      <c r="AF123" s="205">
        <v>4680000</v>
      </c>
      <c r="AG123" s="206">
        <v>8.7748</v>
      </c>
      <c r="AH123" s="203">
        <f t="shared" si="20"/>
        <v>8.500003593868666</v>
      </c>
      <c r="AI123" s="204">
        <f t="shared" si="21"/>
        <v>39778852.233812965</v>
      </c>
    </row>
    <row r="124" spans="1:35" ht="12.75">
      <c r="A124" t="str">
        <f t="shared" si="12"/>
        <v>FID III TIT INT FOOD SERVICES CORP</v>
      </c>
      <c r="B124" s="208">
        <f t="shared" si="15"/>
        <v>25000000</v>
      </c>
      <c r="C124" s="218">
        <f t="shared" si="16"/>
        <v>7.8196048320000004</v>
      </c>
      <c r="D124" s="219">
        <f t="shared" si="13"/>
        <v>1726.5784</v>
      </c>
      <c r="E124" s="212">
        <f t="shared" si="14"/>
        <v>100</v>
      </c>
      <c r="F124" s="212">
        <f t="shared" si="17"/>
        <v>4.796051111111112</v>
      </c>
      <c r="O124" s="199">
        <v>40934</v>
      </c>
      <c r="P124" s="200" t="s">
        <v>124</v>
      </c>
      <c r="Q124" s="200">
        <v>100</v>
      </c>
      <c r="R124" s="201">
        <v>0</v>
      </c>
      <c r="S124" s="200">
        <v>7.7136</v>
      </c>
      <c r="T124" s="200">
        <v>999999.71</v>
      </c>
      <c r="U124" s="202">
        <v>999999.71</v>
      </c>
      <c r="V124" s="203">
        <f t="shared" si="18"/>
        <v>7.500012694114311</v>
      </c>
      <c r="W124" s="204">
        <f t="shared" si="19"/>
        <v>7500010.519110629</v>
      </c>
      <c r="X124" s="204">
        <f>+SUM(W111:W124)/SUM(T111:T124)</f>
        <v>8.486834922010269</v>
      </c>
      <c r="Y124" s="204">
        <f>+SUM(W111:W124)</f>
        <v>125108354.50308736</v>
      </c>
      <c r="AA124" t="s">
        <v>69</v>
      </c>
      <c r="AB124" s="205">
        <v>8</v>
      </c>
      <c r="AC124" s="205">
        <v>1309</v>
      </c>
      <c r="AD124" s="205">
        <v>99.9951</v>
      </c>
      <c r="AE124" s="205">
        <v>1892606.82</v>
      </c>
      <c r="AF124" s="205">
        <v>1892699.75</v>
      </c>
      <c r="AG124" s="206">
        <v>8.2432</v>
      </c>
      <c r="AH124" s="203">
        <f t="shared" si="20"/>
        <v>7.9999849228418185</v>
      </c>
      <c r="AI124" s="204">
        <f t="shared" si="21"/>
        <v>15140826.0248676</v>
      </c>
    </row>
    <row r="125" spans="1:35" ht="12.75">
      <c r="A125" t="str">
        <f t="shared" si="12"/>
        <v>FID MER 10MA TIT CART COM COMANDATO</v>
      </c>
      <c r="B125" s="208">
        <f t="shared" si="15"/>
        <v>12060469.859999998</v>
      </c>
      <c r="C125" s="218">
        <f t="shared" si="16"/>
        <v>8.504239200855151</v>
      </c>
      <c r="D125" s="219">
        <f t="shared" si="13"/>
        <v>1067.5355556586917</v>
      </c>
      <c r="E125" s="212">
        <f t="shared" si="14"/>
        <v>100.00394784448912</v>
      </c>
      <c r="F125" s="212">
        <f t="shared" si="17"/>
        <v>2.9653765434963657</v>
      </c>
      <c r="O125" s="199">
        <v>40920</v>
      </c>
      <c r="P125" s="200" t="s">
        <v>112</v>
      </c>
      <c r="Q125" s="200">
        <v>100</v>
      </c>
      <c r="R125" s="201">
        <v>6.25</v>
      </c>
      <c r="S125" s="200">
        <v>6.398</v>
      </c>
      <c r="T125" s="200">
        <v>100000</v>
      </c>
      <c r="U125" s="202">
        <v>100000</v>
      </c>
      <c r="V125" s="203">
        <f t="shared" si="18"/>
        <v>6.24998452252985</v>
      </c>
      <c r="W125" s="204">
        <f t="shared" si="19"/>
        <v>624998.452252985</v>
      </c>
      <c r="X125" s="209"/>
      <c r="AA125" t="s">
        <v>69</v>
      </c>
      <c r="AB125" s="205">
        <v>8.5</v>
      </c>
      <c r="AC125" s="205">
        <v>1800</v>
      </c>
      <c r="AD125" s="205">
        <v>100</v>
      </c>
      <c r="AE125" s="205">
        <v>1460000</v>
      </c>
      <c r="AF125" s="205">
        <v>1460000</v>
      </c>
      <c r="AG125" s="206">
        <v>8.7748</v>
      </c>
      <c r="AH125" s="203">
        <f t="shared" si="20"/>
        <v>8.500003593868666</v>
      </c>
      <c r="AI125" s="204">
        <f t="shared" si="21"/>
        <v>12410005.247048251</v>
      </c>
    </row>
    <row r="126" spans="1:35" ht="12.75">
      <c r="A126" t="str">
        <f t="shared" si="12"/>
        <v>FID MER 11MA TIT CART COM COMANDATO</v>
      </c>
      <c r="B126" s="208">
        <f t="shared" si="15"/>
        <v>11924667.42</v>
      </c>
      <c r="C126" s="218">
        <f t="shared" si="16"/>
        <v>8.508250089485179</v>
      </c>
      <c r="D126" s="219">
        <f t="shared" si="13"/>
        <v>1005.54146987187</v>
      </c>
      <c r="E126" s="212">
        <f t="shared" si="14"/>
        <v>99.99721765182983</v>
      </c>
      <c r="F126" s="212">
        <f t="shared" si="17"/>
        <v>2.7931707496440836</v>
      </c>
      <c r="O126" s="199">
        <v>40940</v>
      </c>
      <c r="P126" s="200" t="s">
        <v>112</v>
      </c>
      <c r="Q126" s="200">
        <v>99.4301</v>
      </c>
      <c r="R126" s="201">
        <v>0</v>
      </c>
      <c r="S126" s="200">
        <v>6.8042</v>
      </c>
      <c r="T126" s="200">
        <v>497150.5</v>
      </c>
      <c r="U126" s="202">
        <v>497150.5</v>
      </c>
      <c r="V126" s="203">
        <f t="shared" si="18"/>
        <v>6.637169946392696</v>
      </c>
      <c r="W126" s="204">
        <f t="shared" si="19"/>
        <v>3299672.357434102</v>
      </c>
      <c r="X126" s="209"/>
      <c r="AA126" t="s">
        <v>69</v>
      </c>
      <c r="AB126" s="205">
        <v>8.4999</v>
      </c>
      <c r="AC126" s="205">
        <v>1799</v>
      </c>
      <c r="AD126" s="205">
        <v>100</v>
      </c>
      <c r="AE126" s="205">
        <v>190000</v>
      </c>
      <c r="AF126" s="205">
        <v>190000</v>
      </c>
      <c r="AG126" s="206">
        <v>8.7747</v>
      </c>
      <c r="AH126" s="203">
        <f t="shared" si="20"/>
        <v>8.499909707199915</v>
      </c>
      <c r="AI126" s="204">
        <f t="shared" si="21"/>
        <v>1614982.844367984</v>
      </c>
    </row>
    <row r="127" spans="1:35" ht="12.75">
      <c r="A127" t="str">
        <f t="shared" si="12"/>
        <v>FID MER 3TIT FLUJOS FUT ARTEFACTA</v>
      </c>
      <c r="B127" s="208">
        <f t="shared" si="15"/>
        <v>12081440.61</v>
      </c>
      <c r="C127" s="218">
        <f t="shared" si="16"/>
        <v>8.11892551487343</v>
      </c>
      <c r="D127" s="219">
        <f t="shared" si="13"/>
        <v>1520.7095914276072</v>
      </c>
      <c r="E127" s="212">
        <f t="shared" si="14"/>
        <v>99.71636063273944</v>
      </c>
      <c r="F127" s="212">
        <f t="shared" si="17"/>
        <v>4.224193309521131</v>
      </c>
      <c r="O127" s="199">
        <v>40945</v>
      </c>
      <c r="P127" s="200" t="s">
        <v>112</v>
      </c>
      <c r="Q127" s="200">
        <v>100</v>
      </c>
      <c r="R127" s="201">
        <v>0</v>
      </c>
      <c r="S127" s="200">
        <v>6.3967</v>
      </c>
      <c r="T127" s="200">
        <v>1000000</v>
      </c>
      <c r="U127" s="202">
        <v>1000000</v>
      </c>
      <c r="V127" s="203">
        <f t="shared" si="18"/>
        <v>6.248743598359052</v>
      </c>
      <c r="W127" s="204">
        <f t="shared" si="19"/>
        <v>6248743.598359052</v>
      </c>
      <c r="X127" s="204">
        <f>+SUM(W125:W127)/SUM(T125:T127)</f>
        <v>6.3697280926538475</v>
      </c>
      <c r="Y127" s="204">
        <f>+SUM(W125:W127)</f>
        <v>10173414.40804614</v>
      </c>
      <c r="AA127" t="s">
        <v>69</v>
      </c>
      <c r="AB127" s="205">
        <v>5.294</v>
      </c>
      <c r="AC127" s="205">
        <v>1377</v>
      </c>
      <c r="AD127" s="205">
        <v>105.7995</v>
      </c>
      <c r="AE127" s="205">
        <v>33855.84</v>
      </c>
      <c r="AF127" s="205">
        <v>32000</v>
      </c>
      <c r="AG127" s="206">
        <v>5.4</v>
      </c>
      <c r="AH127" s="203">
        <f t="shared" si="20"/>
        <v>5.293971614056492</v>
      </c>
      <c r="AI127" s="204">
        <f t="shared" si="21"/>
        <v>179231.85593003832</v>
      </c>
    </row>
    <row r="128" spans="1:35" ht="12.75">
      <c r="A128" t="str">
        <f t="shared" si="12"/>
        <v>FID MER 5TA TIT CART COM COMANDATO</v>
      </c>
      <c r="B128" s="208">
        <f t="shared" si="15"/>
        <v>263519.44</v>
      </c>
      <c r="C128" s="218">
        <f t="shared" si="16"/>
        <v>8.475009039503878</v>
      </c>
      <c r="D128" s="219">
        <f t="shared" si="13"/>
        <v>358.6940488337407</v>
      </c>
      <c r="E128" s="212">
        <f t="shared" si="14"/>
        <v>100.28674451117155</v>
      </c>
      <c r="F128" s="212">
        <f t="shared" si="17"/>
        <v>0.9963723578715019</v>
      </c>
      <c r="O128" s="199">
        <v>40941</v>
      </c>
      <c r="P128" s="200" t="s">
        <v>135</v>
      </c>
      <c r="Q128" s="200">
        <v>100.0674</v>
      </c>
      <c r="R128" s="201">
        <v>6.6674</v>
      </c>
      <c r="S128" s="200">
        <v>6.836</v>
      </c>
      <c r="T128" s="200">
        <v>200134.8</v>
      </c>
      <c r="U128" s="202">
        <v>200134.8</v>
      </c>
      <c r="V128" s="203">
        <f t="shared" si="18"/>
        <v>6.6674347170296855</v>
      </c>
      <c r="W128" s="204">
        <f t="shared" si="19"/>
        <v>1334385.7136057927</v>
      </c>
      <c r="X128" s="209"/>
      <c r="AA128" t="s">
        <v>69</v>
      </c>
      <c r="AB128" s="205">
        <v>5.0053</v>
      </c>
      <c r="AC128" s="205">
        <v>968</v>
      </c>
      <c r="AD128" s="205">
        <v>103.1043</v>
      </c>
      <c r="AE128" s="205">
        <v>14176.84</v>
      </c>
      <c r="AF128" s="205">
        <v>13750</v>
      </c>
      <c r="AG128" s="206">
        <v>5.1</v>
      </c>
      <c r="AH128" s="203">
        <f t="shared" si="20"/>
        <v>5.0052662391725455</v>
      </c>
      <c r="AI128" s="204">
        <f t="shared" si="21"/>
        <v>70958.8586301509</v>
      </c>
    </row>
    <row r="129" spans="1:35" ht="12.75">
      <c r="A129" t="str">
        <f t="shared" si="12"/>
        <v>FID MER 6TA TIT CART COM COMANDATO</v>
      </c>
      <c r="B129" s="208">
        <f t="shared" si="15"/>
        <v>1097390.59</v>
      </c>
      <c r="C129" s="218">
        <f t="shared" si="16"/>
        <v>6.714366704210576</v>
      </c>
      <c r="D129" s="219">
        <f t="shared" si="13"/>
        <v>648.1531919642212</v>
      </c>
      <c r="E129" s="212">
        <f t="shared" si="14"/>
        <v>101.5947018046455</v>
      </c>
      <c r="F129" s="212">
        <f t="shared" si="17"/>
        <v>1.8004255332339476</v>
      </c>
      <c r="O129" s="199">
        <v>40935</v>
      </c>
      <c r="P129" s="200" t="s">
        <v>125</v>
      </c>
      <c r="Q129" s="200">
        <v>100</v>
      </c>
      <c r="R129" s="201">
        <v>8.4992</v>
      </c>
      <c r="S129" s="200">
        <v>8.7739</v>
      </c>
      <c r="T129" s="200">
        <v>550000.12</v>
      </c>
      <c r="U129" s="202">
        <v>550000.12</v>
      </c>
      <c r="V129" s="203">
        <f t="shared" si="18"/>
        <v>8.499158611519864</v>
      </c>
      <c r="W129" s="204">
        <f t="shared" si="19"/>
        <v>4674538.256234959</v>
      </c>
      <c r="X129" s="209"/>
      <c r="AA129" t="s">
        <v>69</v>
      </c>
      <c r="AB129" s="205">
        <v>5.0053</v>
      </c>
      <c r="AC129" s="205">
        <v>968</v>
      </c>
      <c r="AD129" s="205">
        <v>103.1043</v>
      </c>
      <c r="AE129" s="205">
        <v>14176.84</v>
      </c>
      <c r="AF129" s="205">
        <v>13750</v>
      </c>
      <c r="AG129" s="206">
        <v>5.1</v>
      </c>
      <c r="AH129" s="203">
        <f t="shared" si="20"/>
        <v>5.0052662391725455</v>
      </c>
      <c r="AI129" s="204">
        <f t="shared" si="21"/>
        <v>70958.8586301509</v>
      </c>
    </row>
    <row r="130" spans="1:35" ht="12.75">
      <c r="A130" t="str">
        <f t="shared" si="12"/>
        <v>FID MER 8VA TIT CART COM COMANDATO</v>
      </c>
      <c r="B130" s="208">
        <f t="shared" si="15"/>
        <v>431364.48</v>
      </c>
      <c r="C130" s="218">
        <f t="shared" si="16"/>
        <v>6.504710573290597</v>
      </c>
      <c r="D130" s="219">
        <f t="shared" si="13"/>
        <v>804.2488832877477</v>
      </c>
      <c r="E130" s="212">
        <f t="shared" si="14"/>
        <v>102.1286374348268</v>
      </c>
      <c r="F130" s="212">
        <f t="shared" si="17"/>
        <v>2.2340246757992994</v>
      </c>
      <c r="O130" s="199">
        <v>40935</v>
      </c>
      <c r="P130" s="200" t="s">
        <v>125</v>
      </c>
      <c r="Q130" s="200">
        <v>100</v>
      </c>
      <c r="R130" s="201">
        <v>8.4992</v>
      </c>
      <c r="S130" s="200">
        <v>8.7739</v>
      </c>
      <c r="T130" s="200">
        <v>210000.05</v>
      </c>
      <c r="U130" s="202">
        <v>210000.05</v>
      </c>
      <c r="V130" s="203">
        <f t="shared" si="18"/>
        <v>8.499158611519864</v>
      </c>
      <c r="W130" s="204">
        <f t="shared" si="19"/>
        <v>1784823.7333771018</v>
      </c>
      <c r="X130" s="209"/>
      <c r="AA130" t="s">
        <v>69</v>
      </c>
      <c r="AB130" s="205">
        <v>8.5</v>
      </c>
      <c r="AC130" s="205">
        <v>1779</v>
      </c>
      <c r="AD130" s="205">
        <v>99.996</v>
      </c>
      <c r="AE130" s="205">
        <v>4199832.46</v>
      </c>
      <c r="AF130" s="205">
        <v>4200000</v>
      </c>
      <c r="AG130" s="206">
        <v>8.7748</v>
      </c>
      <c r="AH130" s="203">
        <f t="shared" si="20"/>
        <v>8.500003593868666</v>
      </c>
      <c r="AI130" s="204">
        <f t="shared" si="21"/>
        <v>35698591.00364628</v>
      </c>
    </row>
    <row r="131" spans="1:35" ht="12.75">
      <c r="A131" t="str">
        <f t="shared" si="12"/>
        <v>FID MER 9 TIT CART COM COMANDATO</v>
      </c>
      <c r="B131" s="208">
        <f t="shared" si="15"/>
        <v>15862794.740000002</v>
      </c>
      <c r="C131" s="218">
        <f t="shared" si="16"/>
        <v>8.425163868731493</v>
      </c>
      <c r="D131" s="219">
        <f t="shared" si="13"/>
        <v>1061.5533651531064</v>
      </c>
      <c r="E131" s="212">
        <f t="shared" si="14"/>
        <v>100.097989620139</v>
      </c>
      <c r="F131" s="212">
        <f t="shared" si="17"/>
        <v>2.948759347647518</v>
      </c>
      <c r="O131" s="199">
        <v>40935</v>
      </c>
      <c r="P131" s="200" t="s">
        <v>125</v>
      </c>
      <c r="Q131" s="200">
        <v>100</v>
      </c>
      <c r="R131" s="201">
        <v>8.4992</v>
      </c>
      <c r="S131" s="200">
        <v>8.774</v>
      </c>
      <c r="T131" s="200">
        <v>82000</v>
      </c>
      <c r="U131" s="202">
        <v>82000</v>
      </c>
      <c r="V131" s="203">
        <f t="shared" si="18"/>
        <v>8.499252498706422</v>
      </c>
      <c r="W131" s="204">
        <f t="shared" si="19"/>
        <v>696938.7048939266</v>
      </c>
      <c r="X131" s="209"/>
      <c r="AA131" t="s">
        <v>69</v>
      </c>
      <c r="AB131" s="205">
        <v>6.3473</v>
      </c>
      <c r="AC131" s="205">
        <v>1596</v>
      </c>
      <c r="AD131" s="205">
        <v>103.3306</v>
      </c>
      <c r="AE131" s="205">
        <v>165328.89</v>
      </c>
      <c r="AF131" s="205">
        <v>160000</v>
      </c>
      <c r="AG131" s="206">
        <v>6.5</v>
      </c>
      <c r="AH131" s="203">
        <f t="shared" si="20"/>
        <v>6.347313913113428</v>
      </c>
      <c r="AI131" s="204">
        <f t="shared" si="21"/>
        <v>1049394.3637365997</v>
      </c>
    </row>
    <row r="132" spans="1:35" ht="12.75">
      <c r="A132" t="str">
        <f t="shared" si="12"/>
        <v>FID MER B. PICHINCHA FIMEPCH 2</v>
      </c>
      <c r="B132" s="208">
        <f t="shared" si="15"/>
        <v>31385780.22</v>
      </c>
      <c r="C132" s="218">
        <f t="shared" si="16"/>
        <v>6.319763806696853</v>
      </c>
      <c r="D132" s="219">
        <f t="shared" si="13"/>
        <v>2681.6419094758444</v>
      </c>
      <c r="E132" s="212">
        <f t="shared" si="14"/>
        <v>100.25044591793518</v>
      </c>
      <c r="F132" s="212">
        <f t="shared" si="17"/>
        <v>7.449005304099567</v>
      </c>
      <c r="O132" s="199">
        <v>40934</v>
      </c>
      <c r="P132" s="200" t="s">
        <v>125</v>
      </c>
      <c r="Q132" s="200">
        <v>100</v>
      </c>
      <c r="R132" s="201">
        <v>8.4993</v>
      </c>
      <c r="S132" s="200">
        <v>8.7741</v>
      </c>
      <c r="T132" s="200">
        <v>1000000.01</v>
      </c>
      <c r="U132" s="202">
        <v>1000000.01</v>
      </c>
      <c r="V132" s="203">
        <f t="shared" si="18"/>
        <v>8.499346385828321</v>
      </c>
      <c r="W132" s="204">
        <f t="shared" si="19"/>
        <v>8499346.470821785</v>
      </c>
      <c r="X132" s="209"/>
      <c r="AA132" t="s">
        <v>69</v>
      </c>
      <c r="AB132" s="205">
        <v>4.8125</v>
      </c>
      <c r="AC132" s="205">
        <v>1084</v>
      </c>
      <c r="AD132" s="205">
        <v>105.2716</v>
      </c>
      <c r="AE132" s="205">
        <v>456177.15</v>
      </c>
      <c r="AF132" s="205">
        <v>433333.33</v>
      </c>
      <c r="AG132" s="206">
        <v>4.9</v>
      </c>
      <c r="AH132" s="203">
        <f t="shared" si="20"/>
        <v>4.812452441977033</v>
      </c>
      <c r="AI132" s="204">
        <f t="shared" si="21"/>
        <v>2195330.8394916235</v>
      </c>
    </row>
    <row r="133" spans="1:35" ht="12.75">
      <c r="A133" t="str">
        <f t="shared" si="12"/>
        <v>FID MER BANCO INTERNACIONAL 2 INTER 2</v>
      </c>
      <c r="B133" s="208">
        <f t="shared" si="15"/>
        <v>50000000</v>
      </c>
      <c r="C133" s="218">
        <f t="shared" si="16"/>
        <v>6.508008446</v>
      </c>
      <c r="D133" s="219">
        <f t="shared" si="13"/>
        <v>3224.3006</v>
      </c>
      <c r="E133" s="212">
        <f t="shared" si="14"/>
        <v>100</v>
      </c>
      <c r="F133" s="212">
        <f t="shared" si="17"/>
        <v>8.956390555555556</v>
      </c>
      <c r="O133" s="199">
        <v>40933</v>
      </c>
      <c r="P133" s="200" t="s">
        <v>125</v>
      </c>
      <c r="Q133" s="200">
        <v>100</v>
      </c>
      <c r="R133" s="201">
        <v>8.4994</v>
      </c>
      <c r="S133" s="200">
        <v>8.7742</v>
      </c>
      <c r="T133" s="200">
        <v>100000</v>
      </c>
      <c r="U133" s="202">
        <v>100000</v>
      </c>
      <c r="V133" s="203">
        <f t="shared" si="18"/>
        <v>8.499440272885384</v>
      </c>
      <c r="W133" s="204">
        <f t="shared" si="19"/>
        <v>849944.0272885384</v>
      </c>
      <c r="X133" s="209"/>
      <c r="AA133" t="s">
        <v>69</v>
      </c>
      <c r="AB133" s="205">
        <v>8.4986</v>
      </c>
      <c r="AC133" s="205">
        <v>1785</v>
      </c>
      <c r="AD133" s="205">
        <v>100</v>
      </c>
      <c r="AE133" s="205">
        <v>250000</v>
      </c>
      <c r="AF133" s="205">
        <v>250000</v>
      </c>
      <c r="AG133" s="206">
        <v>8.7733</v>
      </c>
      <c r="AH133" s="203">
        <f t="shared" si="20"/>
        <v>8.498595287040889</v>
      </c>
      <c r="AI133" s="204">
        <f t="shared" si="21"/>
        <v>2124648.8217602223</v>
      </c>
    </row>
    <row r="134" spans="1:35" ht="12.75">
      <c r="A134" t="str">
        <f t="shared" si="12"/>
        <v>FID MER CUARTA TIT DE PRATI</v>
      </c>
      <c r="B134" s="208">
        <f t="shared" si="15"/>
        <v>22437684.640000004</v>
      </c>
      <c r="C134" s="218">
        <f t="shared" si="16"/>
        <v>7.5535125837420605</v>
      </c>
      <c r="D134" s="219">
        <f t="shared" si="13"/>
        <v>1226.3598952284763</v>
      </c>
      <c r="E134" s="212">
        <f t="shared" si="14"/>
        <v>100.09197095998566</v>
      </c>
      <c r="F134" s="212">
        <f t="shared" si="17"/>
        <v>3.4065552645235453</v>
      </c>
      <c r="O134" s="199">
        <v>40927</v>
      </c>
      <c r="P134" s="200" t="s">
        <v>125</v>
      </c>
      <c r="Q134" s="200">
        <v>100</v>
      </c>
      <c r="R134" s="201">
        <v>8.5</v>
      </c>
      <c r="S134" s="200">
        <v>8.7748</v>
      </c>
      <c r="T134" s="200">
        <v>1500000</v>
      </c>
      <c r="U134" s="202">
        <v>1500000</v>
      </c>
      <c r="V134" s="203">
        <f t="shared" si="18"/>
        <v>8.500003593868666</v>
      </c>
      <c r="W134" s="204">
        <f t="shared" si="19"/>
        <v>12750005.390802998</v>
      </c>
      <c r="X134" s="209"/>
      <c r="AA134" t="s">
        <v>69</v>
      </c>
      <c r="AB134" s="205">
        <v>8.4986</v>
      </c>
      <c r="AC134" s="205">
        <v>1784</v>
      </c>
      <c r="AD134" s="205">
        <v>100</v>
      </c>
      <c r="AE134" s="205">
        <v>250000</v>
      </c>
      <c r="AF134" s="205">
        <v>250000</v>
      </c>
      <c r="AG134" s="206">
        <v>8.7733</v>
      </c>
      <c r="AH134" s="203">
        <f t="shared" si="20"/>
        <v>8.498595287040889</v>
      </c>
      <c r="AI134" s="204">
        <f t="shared" si="21"/>
        <v>2124648.8217602223</v>
      </c>
    </row>
    <row r="135" spans="1:37" ht="12.75">
      <c r="A135" t="str">
        <f t="shared" si="12"/>
        <v>FID MER I TIT ADFRANEC</v>
      </c>
      <c r="B135" s="208">
        <f t="shared" si="15"/>
        <v>1756183.43</v>
      </c>
      <c r="C135" s="218">
        <f t="shared" si="16"/>
        <v>8.2432</v>
      </c>
      <c r="D135" s="219">
        <f t="shared" si="13"/>
        <v>1043.4123411926282</v>
      </c>
      <c r="E135" s="212">
        <f t="shared" si="14"/>
        <v>98.93995453599285</v>
      </c>
      <c r="F135" s="212">
        <f t="shared" si="17"/>
        <v>2.898367614423967</v>
      </c>
      <c r="O135" s="199">
        <v>40945</v>
      </c>
      <c r="P135" s="200" t="s">
        <v>125</v>
      </c>
      <c r="Q135" s="200">
        <v>100</v>
      </c>
      <c r="R135" s="201">
        <v>8.4985</v>
      </c>
      <c r="S135" s="200">
        <v>8.7732</v>
      </c>
      <c r="T135" s="200">
        <v>150000</v>
      </c>
      <c r="U135" s="202">
        <v>150000</v>
      </c>
      <c r="V135" s="203">
        <f t="shared" si="18"/>
        <v>8.498501399401182</v>
      </c>
      <c r="W135" s="204">
        <f t="shared" si="19"/>
        <v>1274775.2099101772</v>
      </c>
      <c r="X135" s="209"/>
      <c r="AA135" t="s">
        <v>69</v>
      </c>
      <c r="AB135" s="205">
        <v>8</v>
      </c>
      <c r="AC135" s="205">
        <v>1085</v>
      </c>
      <c r="AD135" s="205">
        <v>100.6899</v>
      </c>
      <c r="AE135" s="205">
        <v>87264.62</v>
      </c>
      <c r="AF135" s="205">
        <v>86666.67</v>
      </c>
      <c r="AG135" s="206">
        <v>8.2432</v>
      </c>
      <c r="AH135" s="203">
        <f t="shared" si="20"/>
        <v>7.9999849228418185</v>
      </c>
      <c r="AI135" s="204">
        <f t="shared" si="21"/>
        <v>698115.6442975206</v>
      </c>
      <c r="AJ135" s="218">
        <f>+SUM(AI5:AI135)/SUM(AF5:AF135)</f>
        <v>8.120164343319585</v>
      </c>
      <c r="AK135" s="218">
        <f>+SUM(AI5:AI135)</f>
        <v>514328144.14382297</v>
      </c>
    </row>
    <row r="136" spans="1:35" ht="12.75">
      <c r="A136" t="str">
        <f t="shared" si="12"/>
        <v>FID MER I TIT AUTOMOTORES Y ANEXOS</v>
      </c>
      <c r="B136" s="208">
        <f t="shared" si="15"/>
        <v>50428.4</v>
      </c>
      <c r="C136" s="218">
        <f t="shared" si="16"/>
        <v>6.5361</v>
      </c>
      <c r="D136" s="219">
        <f t="shared" si="13"/>
        <v>690</v>
      </c>
      <c r="E136" s="212">
        <f t="shared" si="14"/>
        <v>100.8568</v>
      </c>
      <c r="F136" s="212">
        <f t="shared" si="17"/>
        <v>1.9166666666666667</v>
      </c>
      <c r="O136" s="199">
        <v>40941</v>
      </c>
      <c r="P136" s="200" t="s">
        <v>125</v>
      </c>
      <c r="Q136" s="200">
        <v>100</v>
      </c>
      <c r="R136" s="201">
        <v>8.4988</v>
      </c>
      <c r="S136" s="200">
        <v>8.7735</v>
      </c>
      <c r="T136" s="200">
        <v>50000</v>
      </c>
      <c r="U136" s="202">
        <v>50000</v>
      </c>
      <c r="V136" s="203">
        <f t="shared" si="18"/>
        <v>8.498783062126147</v>
      </c>
      <c r="W136" s="204">
        <f t="shared" si="19"/>
        <v>424939.1531063074</v>
      </c>
      <c r="X136" s="209"/>
      <c r="AA136" t="s">
        <v>23</v>
      </c>
      <c r="AB136" s="205">
        <v>6.8234</v>
      </c>
      <c r="AC136" s="205">
        <v>2214</v>
      </c>
      <c r="AD136" s="205">
        <v>101.9973</v>
      </c>
      <c r="AE136" s="205">
        <v>81597.86</v>
      </c>
      <c r="AF136" s="205">
        <v>80000</v>
      </c>
      <c r="AG136" s="206">
        <v>7</v>
      </c>
      <c r="AH136" s="203">
        <f t="shared" si="20"/>
        <v>6.82341000072455</v>
      </c>
      <c r="AI136" s="204">
        <f t="shared" si="21"/>
        <v>556775.6539617217</v>
      </c>
    </row>
    <row r="137" spans="1:35" ht="12.75">
      <c r="A137" t="str">
        <f t="shared" si="12"/>
        <v>FID MER I TIT AZENDE</v>
      </c>
      <c r="B137" s="208">
        <f t="shared" si="15"/>
        <v>1277691.7</v>
      </c>
      <c r="C137" s="218">
        <f t="shared" si="16"/>
        <v>6.399372110583484</v>
      </c>
      <c r="D137" s="219">
        <f t="shared" si="13"/>
        <v>1176.4997964297647</v>
      </c>
      <c r="E137" s="212">
        <f t="shared" si="14"/>
        <v>103.65146512216764</v>
      </c>
      <c r="F137" s="212">
        <f t="shared" si="17"/>
        <v>3.2680549900826796</v>
      </c>
      <c r="O137" s="199">
        <v>40939</v>
      </c>
      <c r="P137" s="200" t="s">
        <v>125</v>
      </c>
      <c r="Q137" s="200">
        <v>100</v>
      </c>
      <c r="R137" s="201">
        <v>8.4989</v>
      </c>
      <c r="S137" s="200">
        <v>8.7737</v>
      </c>
      <c r="T137" s="200">
        <v>40000</v>
      </c>
      <c r="U137" s="202">
        <v>40000</v>
      </c>
      <c r="V137" s="203">
        <f t="shared" si="18"/>
        <v>8.498970836952502</v>
      </c>
      <c r="W137" s="204">
        <f t="shared" si="19"/>
        <v>339958.8334781001</v>
      </c>
      <c r="X137" s="209"/>
      <c r="AA137" t="s">
        <v>23</v>
      </c>
      <c r="AB137" s="205">
        <v>6.8234</v>
      </c>
      <c r="AC137" s="205">
        <v>2214</v>
      </c>
      <c r="AD137" s="205">
        <v>101.9973</v>
      </c>
      <c r="AE137" s="205">
        <v>81597.86</v>
      </c>
      <c r="AF137" s="205">
        <v>80000</v>
      </c>
      <c r="AG137" s="206">
        <v>7</v>
      </c>
      <c r="AH137" s="203">
        <f t="shared" si="20"/>
        <v>6.82341000072455</v>
      </c>
      <c r="AI137" s="204">
        <f t="shared" si="21"/>
        <v>556775.6539617217</v>
      </c>
    </row>
    <row r="138" spans="1:35" ht="12.75">
      <c r="A138" t="str">
        <f t="shared" si="12"/>
        <v>FID MER I TIT CART AUT UNIFINSA</v>
      </c>
      <c r="B138" s="208">
        <f t="shared" si="15"/>
        <v>74163.83</v>
      </c>
      <c r="C138" s="218">
        <f t="shared" si="16"/>
        <v>7.7136000000000005</v>
      </c>
      <c r="D138" s="219">
        <f t="shared" si="13"/>
        <v>959.3145832678814</v>
      </c>
      <c r="E138" s="212">
        <f t="shared" si="14"/>
        <v>99.99614157445751</v>
      </c>
      <c r="F138" s="212">
        <f t="shared" si="17"/>
        <v>2.6647627312996707</v>
      </c>
      <c r="O138" s="199">
        <v>40939</v>
      </c>
      <c r="P138" s="200" t="s">
        <v>125</v>
      </c>
      <c r="Q138" s="200">
        <v>100</v>
      </c>
      <c r="R138" s="201">
        <v>8.4989</v>
      </c>
      <c r="S138" s="200">
        <v>8.7737</v>
      </c>
      <c r="T138" s="200">
        <v>30000</v>
      </c>
      <c r="U138" s="202">
        <v>30000</v>
      </c>
      <c r="V138" s="203">
        <f t="shared" si="18"/>
        <v>8.498970836952502</v>
      </c>
      <c r="W138" s="204">
        <f t="shared" si="19"/>
        <v>254969.12510857507</v>
      </c>
      <c r="X138" s="209"/>
      <c r="AA138" t="s">
        <v>23</v>
      </c>
      <c r="AB138" s="205">
        <v>0</v>
      </c>
      <c r="AC138" s="205">
        <v>732</v>
      </c>
      <c r="AD138" s="205">
        <v>100</v>
      </c>
      <c r="AE138" s="205">
        <v>25000</v>
      </c>
      <c r="AF138" s="205">
        <v>25000</v>
      </c>
      <c r="AG138" s="206">
        <v>6.9192</v>
      </c>
      <c r="AH138" s="203">
        <f t="shared" si="20"/>
        <v>6.746586066018168</v>
      </c>
      <c r="AI138" s="204">
        <f t="shared" si="21"/>
        <v>168664.65165045418</v>
      </c>
    </row>
    <row r="139" spans="1:35" ht="12.75">
      <c r="A139" t="str">
        <f t="shared" si="12"/>
        <v>FID MER I TIT CASA TOSI</v>
      </c>
      <c r="B139" s="208">
        <f t="shared" si="15"/>
        <v>20558.5</v>
      </c>
      <c r="C139" s="218">
        <f t="shared" si="16"/>
        <v>9.080085392903179</v>
      </c>
      <c r="D139" s="219">
        <f t="shared" si="13"/>
        <v>710.2190432181336</v>
      </c>
      <c r="E139" s="212">
        <f t="shared" si="14"/>
        <v>99.67836556840236</v>
      </c>
      <c r="F139" s="212">
        <f t="shared" si="17"/>
        <v>1.9728306756059266</v>
      </c>
      <c r="O139" s="199"/>
      <c r="P139" s="200"/>
      <c r="Q139" s="200"/>
      <c r="R139" s="201"/>
      <c r="S139" s="200"/>
      <c r="T139" s="200"/>
      <c r="U139" s="202"/>
      <c r="V139" s="203"/>
      <c r="W139" s="204"/>
      <c r="X139" s="209"/>
      <c r="AB139" s="205"/>
      <c r="AC139" s="205"/>
      <c r="AD139" s="205"/>
      <c r="AE139" s="205"/>
      <c r="AF139" s="205"/>
      <c r="AG139" s="206"/>
      <c r="AH139" s="203"/>
      <c r="AI139" s="204"/>
    </row>
    <row r="140" spans="1:35" ht="12.75">
      <c r="A140" t="str">
        <f t="shared" si="12"/>
        <v>FID MER I TIT CONTECON GUAYAQUIL</v>
      </c>
      <c r="B140" s="208">
        <f t="shared" si="15"/>
        <v>9680053.370000001</v>
      </c>
      <c r="C140" s="218">
        <f t="shared" si="16"/>
        <v>7.753716650148179</v>
      </c>
      <c r="D140" s="219">
        <f t="shared" si="13"/>
        <v>1653.3804559085813</v>
      </c>
      <c r="E140" s="212">
        <f t="shared" si="14"/>
        <v>99.24860692328187</v>
      </c>
      <c r="F140" s="212">
        <f t="shared" si="17"/>
        <v>4.592723488634948</v>
      </c>
      <c r="O140" s="199"/>
      <c r="P140" s="200"/>
      <c r="Q140" s="200"/>
      <c r="R140" s="201"/>
      <c r="S140" s="200"/>
      <c r="T140" s="200"/>
      <c r="U140" s="202"/>
      <c r="V140" s="203"/>
      <c r="W140" s="204"/>
      <c r="X140" s="209"/>
      <c r="AB140" s="205"/>
      <c r="AC140" s="205"/>
      <c r="AD140" s="205"/>
      <c r="AE140" s="205"/>
      <c r="AF140" s="205"/>
      <c r="AG140" s="206"/>
      <c r="AH140" s="203"/>
      <c r="AI140" s="204"/>
    </row>
    <row r="141" spans="1:35" ht="12.75">
      <c r="A141" t="str">
        <f t="shared" si="12"/>
        <v>FID MER I TIT DELISODA / PROD GATORADE</v>
      </c>
      <c r="B141" s="208">
        <f t="shared" si="15"/>
        <v>4930066.27</v>
      </c>
      <c r="C141" s="218">
        <f t="shared" si="16"/>
        <v>7.2078545296848535</v>
      </c>
      <c r="D141" s="219">
        <f t="shared" si="13"/>
        <v>1039.3404093267898</v>
      </c>
      <c r="E141" s="212">
        <f t="shared" si="14"/>
        <v>102.2212133279095</v>
      </c>
      <c r="F141" s="212">
        <f t="shared" si="17"/>
        <v>2.887056692574416</v>
      </c>
      <c r="O141" s="199"/>
      <c r="P141" s="200"/>
      <c r="Q141" s="200"/>
      <c r="R141" s="201"/>
      <c r="S141" s="200"/>
      <c r="T141" s="200"/>
      <c r="U141" s="202"/>
      <c r="V141" s="203"/>
      <c r="W141" s="204"/>
      <c r="X141" s="209"/>
      <c r="AB141" s="205"/>
      <c r="AC141" s="205"/>
      <c r="AD141" s="205"/>
      <c r="AE141" s="205"/>
      <c r="AF141" s="205"/>
      <c r="AG141" s="206"/>
      <c r="AH141" s="203"/>
      <c r="AI141" s="204"/>
    </row>
    <row r="142" spans="1:35" ht="12.75">
      <c r="A142" t="str">
        <f t="shared" si="12"/>
        <v>FID MER I TIT ENERGY&amp;PALMA</v>
      </c>
      <c r="B142" s="208">
        <f t="shared" si="15"/>
        <v>668161.26</v>
      </c>
      <c r="C142" s="218">
        <f t="shared" si="16"/>
        <v>7.227391864637587</v>
      </c>
      <c r="D142" s="219">
        <f t="shared" si="13"/>
        <v>1288.1708637223296</v>
      </c>
      <c r="E142" s="212">
        <f t="shared" si="14"/>
        <v>100.92235301891644</v>
      </c>
      <c r="F142" s="212">
        <f t="shared" si="17"/>
        <v>3.578252399228693</v>
      </c>
      <c r="O142" s="199"/>
      <c r="P142" s="200"/>
      <c r="Q142" s="200"/>
      <c r="R142" s="201"/>
      <c r="S142" s="200"/>
      <c r="T142" s="200"/>
      <c r="U142" s="202"/>
      <c r="V142" s="203"/>
      <c r="W142" s="204"/>
      <c r="X142" s="209"/>
      <c r="AB142" s="205"/>
      <c r="AC142" s="205"/>
      <c r="AD142" s="205"/>
      <c r="AE142" s="205"/>
      <c r="AF142" s="205"/>
      <c r="AG142" s="206"/>
      <c r="AH142" s="203"/>
      <c r="AI142" s="204"/>
    </row>
    <row r="143" spans="1:35" ht="12.75">
      <c r="A143" t="str">
        <f t="shared" si="12"/>
        <v>FID MER I TIT EXPALSA</v>
      </c>
      <c r="B143" s="208">
        <f t="shared" si="15"/>
        <v>443895.58</v>
      </c>
      <c r="C143" s="218">
        <f t="shared" si="16"/>
        <v>5.965927378010837</v>
      </c>
      <c r="D143" s="219">
        <f t="shared" si="13"/>
        <v>772.6785349833849</v>
      </c>
      <c r="E143" s="212">
        <f t="shared" si="14"/>
        <v>102.35079869962888</v>
      </c>
      <c r="F143" s="212">
        <f t="shared" si="17"/>
        <v>2.146329263842736</v>
      </c>
      <c r="O143" s="199"/>
      <c r="P143" s="200"/>
      <c r="Q143" s="200"/>
      <c r="R143" s="201"/>
      <c r="S143" s="200"/>
      <c r="T143" s="200"/>
      <c r="U143" s="202"/>
      <c r="V143" s="203"/>
      <c r="W143" s="204"/>
      <c r="X143" s="209"/>
      <c r="AB143" s="205"/>
      <c r="AC143" s="205"/>
      <c r="AD143" s="205"/>
      <c r="AE143" s="205"/>
      <c r="AF143" s="205"/>
      <c r="AG143" s="206"/>
      <c r="AH143" s="203"/>
      <c r="AI143" s="204"/>
    </row>
    <row r="144" spans="1:35" ht="12.75">
      <c r="A144" t="str">
        <f t="shared" si="12"/>
        <v>FID MER I TIT FLUJOS - TECOPESCA</v>
      </c>
      <c r="B144" s="208">
        <f t="shared" si="15"/>
        <v>11508416.000000002</v>
      </c>
      <c r="C144" s="218">
        <f t="shared" si="16"/>
        <v>8.00429176165121</v>
      </c>
      <c r="D144" s="219">
        <f t="shared" si="13"/>
        <v>1319.5539298292656</v>
      </c>
      <c r="E144" s="212">
        <f t="shared" si="14"/>
        <v>100.34818907968356</v>
      </c>
      <c r="F144" s="212">
        <f t="shared" si="17"/>
        <v>3.665427582859071</v>
      </c>
      <c r="O144" s="199"/>
      <c r="P144" s="200"/>
      <c r="Q144" s="200"/>
      <c r="R144" s="201"/>
      <c r="S144" s="200"/>
      <c r="T144" s="200"/>
      <c r="U144" s="202"/>
      <c r="V144" s="203"/>
      <c r="W144" s="204"/>
      <c r="X144" s="209"/>
      <c r="AB144" s="205"/>
      <c r="AC144" s="205"/>
      <c r="AD144" s="205"/>
      <c r="AE144" s="205"/>
      <c r="AF144" s="205"/>
      <c r="AG144" s="206"/>
      <c r="AH144" s="203"/>
      <c r="AI144" s="204"/>
    </row>
    <row r="145" spans="1:35" ht="12.75">
      <c r="A145" t="str">
        <f t="shared" si="12"/>
        <v>FID MER I TIT FLUJOS EDU-CPU/USFQ</v>
      </c>
      <c r="B145" s="208">
        <f t="shared" si="15"/>
        <v>3407205.48</v>
      </c>
      <c r="C145" s="218">
        <f t="shared" si="16"/>
        <v>8.187547534241462</v>
      </c>
      <c r="D145" s="219">
        <f t="shared" si="13"/>
        <v>1715.4398760945871</v>
      </c>
      <c r="E145" s="212">
        <f t="shared" si="14"/>
        <v>100.06512567619401</v>
      </c>
      <c r="F145" s="212">
        <f t="shared" si="17"/>
        <v>4.765110766929409</v>
      </c>
      <c r="O145" s="199"/>
      <c r="P145" s="200"/>
      <c r="Q145" s="200"/>
      <c r="R145" s="201"/>
      <c r="S145" s="200"/>
      <c r="T145" s="200"/>
      <c r="U145" s="202"/>
      <c r="V145" s="203"/>
      <c r="W145" s="204"/>
      <c r="X145" s="209"/>
      <c r="AB145" s="205"/>
      <c r="AC145" s="205"/>
      <c r="AD145" s="205"/>
      <c r="AE145" s="205"/>
      <c r="AF145" s="205"/>
      <c r="AG145" s="206"/>
      <c r="AH145" s="203"/>
      <c r="AI145" s="204"/>
    </row>
    <row r="146" spans="1:35" ht="12.75">
      <c r="A146" t="str">
        <f t="shared" si="12"/>
        <v>FID MER I TIT FLUJOS LOCALES-PACIFICARD</v>
      </c>
      <c r="B146" s="208">
        <f t="shared" si="15"/>
        <v>26477171.990000006</v>
      </c>
      <c r="C146" s="218">
        <f t="shared" si="16"/>
        <v>7.899401040895039</v>
      </c>
      <c r="D146" s="219">
        <f t="shared" si="13"/>
        <v>1200.548898702455</v>
      </c>
      <c r="E146" s="212">
        <f t="shared" si="14"/>
        <v>99.24634057025811</v>
      </c>
      <c r="F146" s="212">
        <f t="shared" si="17"/>
        <v>3.3348580519512643</v>
      </c>
      <c r="O146" s="199"/>
      <c r="P146" s="200"/>
      <c r="Q146" s="200"/>
      <c r="R146" s="201"/>
      <c r="S146" s="200"/>
      <c r="T146" s="200"/>
      <c r="U146" s="202"/>
      <c r="V146" s="203"/>
      <c r="W146" s="204"/>
      <c r="X146" s="209"/>
      <c r="AB146" s="205"/>
      <c r="AC146" s="205"/>
      <c r="AD146" s="205"/>
      <c r="AE146" s="205"/>
      <c r="AF146" s="205"/>
      <c r="AG146" s="206"/>
      <c r="AH146" s="203"/>
      <c r="AI146" s="204"/>
    </row>
    <row r="147" spans="1:35" ht="12.75">
      <c r="A147" t="str">
        <f t="shared" si="12"/>
        <v>FID MER I TIT FUNDACION ESPOIR</v>
      </c>
      <c r="B147" s="208">
        <f t="shared" si="15"/>
        <v>181314.85</v>
      </c>
      <c r="C147" s="218">
        <f t="shared" si="16"/>
        <v>11.329246932978737</v>
      </c>
      <c r="D147" s="219">
        <f t="shared" si="13"/>
        <v>821.2099539006318</v>
      </c>
      <c r="E147" s="212">
        <f t="shared" si="14"/>
        <v>109.57483409858045</v>
      </c>
      <c r="F147" s="212">
        <f t="shared" si="17"/>
        <v>2.2811387608350886</v>
      </c>
      <c r="O147" s="199"/>
      <c r="P147" s="200"/>
      <c r="Q147" s="200"/>
      <c r="R147" s="201"/>
      <c r="S147" s="200"/>
      <c r="T147" s="200"/>
      <c r="U147" s="202"/>
      <c r="V147" s="203"/>
      <c r="W147" s="204"/>
      <c r="X147" s="209"/>
      <c r="AB147" s="205"/>
      <c r="AC147" s="205"/>
      <c r="AD147" s="205"/>
      <c r="AE147" s="205"/>
      <c r="AF147" s="205"/>
      <c r="AG147" s="206"/>
      <c r="AH147" s="203"/>
      <c r="AI147" s="204"/>
    </row>
    <row r="148" spans="1:35" ht="12.75">
      <c r="A148" t="str">
        <f t="shared" si="12"/>
        <v>FID MER I TIT LATIENVASES</v>
      </c>
      <c r="B148" s="208">
        <f t="shared" si="15"/>
        <v>31365.18</v>
      </c>
      <c r="C148" s="218">
        <f t="shared" si="16"/>
        <v>4.5765</v>
      </c>
      <c r="D148" s="219">
        <f t="shared" si="13"/>
        <v>49</v>
      </c>
      <c r="E148" s="212">
        <f t="shared" si="14"/>
        <v>100.3686</v>
      </c>
      <c r="F148" s="212">
        <f t="shared" si="17"/>
        <v>0.1361111111111111</v>
      </c>
      <c r="O148" s="199"/>
      <c r="P148" s="200"/>
      <c r="Q148" s="200"/>
      <c r="R148" s="201"/>
      <c r="S148" s="200"/>
      <c r="T148" s="200"/>
      <c r="U148" s="202"/>
      <c r="V148" s="203"/>
      <c r="W148" s="204"/>
      <c r="X148" s="209"/>
      <c r="AB148" s="205"/>
      <c r="AC148" s="205"/>
      <c r="AD148" s="205"/>
      <c r="AE148" s="205"/>
      <c r="AF148" s="205"/>
      <c r="AG148" s="206"/>
      <c r="AH148" s="203"/>
      <c r="AI148" s="204"/>
    </row>
    <row r="149" spans="1:35" ht="12.75">
      <c r="A149" t="str">
        <f t="shared" si="12"/>
        <v>FID MER I TIT MAREAUTO S.A.</v>
      </c>
      <c r="B149" s="208">
        <f t="shared" si="15"/>
        <v>987761.94</v>
      </c>
      <c r="C149" s="218">
        <f t="shared" si="16"/>
        <v>7.1874016387015285</v>
      </c>
      <c r="D149" s="219">
        <f t="shared" si="13"/>
        <v>616.0793703389705</v>
      </c>
      <c r="E149" s="212">
        <f t="shared" si="14"/>
        <v>100.878027912593</v>
      </c>
      <c r="F149" s="212">
        <f t="shared" si="17"/>
        <v>1.7113315842749182</v>
      </c>
      <c r="O149" s="199">
        <v>40939</v>
      </c>
      <c r="P149" s="200" t="s">
        <v>125</v>
      </c>
      <c r="Q149" s="200">
        <v>100</v>
      </c>
      <c r="R149" s="201">
        <v>8.4989</v>
      </c>
      <c r="S149" s="200">
        <v>8.7736</v>
      </c>
      <c r="T149" s="200">
        <v>125000</v>
      </c>
      <c r="U149" s="202">
        <v>125000</v>
      </c>
      <c r="V149" s="203">
        <f aca="true" t="shared" si="22" ref="V149:V180">+((1+S149/100)^(90/360)-1)*(400)</f>
        <v>8.498876949571699</v>
      </c>
      <c r="W149" s="204">
        <f aca="true" t="shared" si="23" ref="W149:W180">+V149*T149</f>
        <v>1062359.6186964624</v>
      </c>
      <c r="X149" s="209"/>
      <c r="AA149" t="s">
        <v>23</v>
      </c>
      <c r="AB149" s="205">
        <v>7.5</v>
      </c>
      <c r="AC149" s="205">
        <v>1016</v>
      </c>
      <c r="AD149" s="205">
        <v>99.38</v>
      </c>
      <c r="AE149" s="205">
        <v>218635.97</v>
      </c>
      <c r="AF149" s="205">
        <v>220000</v>
      </c>
      <c r="AG149" s="206">
        <v>7.7136</v>
      </c>
      <c r="AH149" s="203">
        <f aca="true" t="shared" si="24" ref="AH149:AH180">+((1+AG149/100)^(90/360)-1)*(400)</f>
        <v>7.500012694114311</v>
      </c>
      <c r="AI149" s="204">
        <f aca="true" t="shared" si="25" ref="AI149:AI180">+AH149*AE149</f>
        <v>1639772.5503899956</v>
      </c>
    </row>
    <row r="150" spans="1:35" ht="12.75">
      <c r="A150" t="str">
        <f t="shared" si="12"/>
        <v>FID MER I TIT QUIFATEX S.A.</v>
      </c>
      <c r="B150" s="208">
        <f t="shared" si="15"/>
        <v>5197859</v>
      </c>
      <c r="C150" s="218">
        <f t="shared" si="16"/>
        <v>7.62518761005291</v>
      </c>
      <c r="D150" s="219">
        <f t="shared" si="13"/>
        <v>2057.130706086871</v>
      </c>
      <c r="E150" s="212">
        <f t="shared" si="14"/>
        <v>103.25902196425625</v>
      </c>
      <c r="F150" s="212">
        <f t="shared" si="17"/>
        <v>5.71425196135242</v>
      </c>
      <c r="O150" s="199">
        <v>40939</v>
      </c>
      <c r="P150" s="200" t="s">
        <v>125</v>
      </c>
      <c r="Q150" s="200">
        <v>100</v>
      </c>
      <c r="R150" s="201">
        <v>8.4989</v>
      </c>
      <c r="S150" s="200">
        <v>8.7737</v>
      </c>
      <c r="T150" s="200">
        <v>175000</v>
      </c>
      <c r="U150" s="202">
        <v>175000</v>
      </c>
      <c r="V150" s="203">
        <f t="shared" si="22"/>
        <v>8.498970836952502</v>
      </c>
      <c r="W150" s="204">
        <f t="shared" si="23"/>
        <v>1487319.8964666878</v>
      </c>
      <c r="X150" s="209"/>
      <c r="AA150" t="s">
        <v>23</v>
      </c>
      <c r="AB150" s="205">
        <v>5.9652</v>
      </c>
      <c r="AC150" s="205">
        <v>1145</v>
      </c>
      <c r="AD150" s="205">
        <v>101.6633</v>
      </c>
      <c r="AE150" s="205">
        <v>49560.85</v>
      </c>
      <c r="AF150" s="205">
        <v>48750</v>
      </c>
      <c r="AG150" s="206">
        <v>6.1</v>
      </c>
      <c r="AH150" s="203">
        <f t="shared" si="24"/>
        <v>5.9652285692354035</v>
      </c>
      <c r="AI150" s="204">
        <f t="shared" si="25"/>
        <v>295641.79833559046</v>
      </c>
    </row>
    <row r="151" spans="1:35" ht="12.75">
      <c r="A151" t="str">
        <f t="shared" si="12"/>
        <v>FID MER II TIT FUNDACION ESPOIR</v>
      </c>
      <c r="B151" s="208">
        <f t="shared" si="15"/>
        <v>4715000</v>
      </c>
      <c r="C151" s="218">
        <f t="shared" si="16"/>
        <v>8.345440509013786</v>
      </c>
      <c r="D151" s="219">
        <f t="shared" si="13"/>
        <v>1329.2895015906681</v>
      </c>
      <c r="E151" s="212">
        <f t="shared" si="14"/>
        <v>100</v>
      </c>
      <c r="F151" s="212">
        <f t="shared" si="17"/>
        <v>3.692470837751856</v>
      </c>
      <c r="O151" s="199">
        <v>40939</v>
      </c>
      <c r="P151" s="200" t="s">
        <v>125</v>
      </c>
      <c r="Q151" s="200">
        <v>100</v>
      </c>
      <c r="R151" s="201">
        <v>8.4989</v>
      </c>
      <c r="S151" s="200">
        <v>8.7737</v>
      </c>
      <c r="T151" s="200">
        <v>500000</v>
      </c>
      <c r="U151" s="202">
        <v>500000</v>
      </c>
      <c r="V151" s="203">
        <f t="shared" si="22"/>
        <v>8.498970836952502</v>
      </c>
      <c r="W151" s="204">
        <f t="shared" si="23"/>
        <v>4249485.418476251</v>
      </c>
      <c r="X151" s="209"/>
      <c r="AA151" t="s">
        <v>23</v>
      </c>
      <c r="AB151" s="205">
        <v>0</v>
      </c>
      <c r="AC151" s="205">
        <v>754</v>
      </c>
      <c r="AD151" s="205">
        <v>100</v>
      </c>
      <c r="AE151" s="205">
        <v>6000</v>
      </c>
      <c r="AF151" s="205">
        <v>6000</v>
      </c>
      <c r="AG151" s="206">
        <v>6.9142</v>
      </c>
      <c r="AH151" s="203">
        <f t="shared" si="24"/>
        <v>6.741830679249272</v>
      </c>
      <c r="AI151" s="204">
        <f t="shared" si="25"/>
        <v>40450.98407549563</v>
      </c>
    </row>
    <row r="152" spans="1:35" ht="12.75">
      <c r="A152" t="str">
        <f t="shared" si="12"/>
        <v>FID MER II TIT LA FABRIL</v>
      </c>
      <c r="B152" s="208">
        <f t="shared" si="15"/>
        <v>4250046.76</v>
      </c>
      <c r="C152" s="218">
        <f t="shared" si="16"/>
        <v>6.34272060314367</v>
      </c>
      <c r="D152" s="219">
        <f t="shared" si="13"/>
        <v>1386.4048219530648</v>
      </c>
      <c r="E152" s="212">
        <f t="shared" si="14"/>
        <v>103.28876004043846</v>
      </c>
      <c r="F152" s="212">
        <f t="shared" si="17"/>
        <v>3.85112450542518</v>
      </c>
      <c r="O152" s="199">
        <v>40966</v>
      </c>
      <c r="P152" s="200" t="s">
        <v>125</v>
      </c>
      <c r="Q152" s="200">
        <v>100</v>
      </c>
      <c r="R152" s="201">
        <v>8.4985</v>
      </c>
      <c r="S152" s="200">
        <v>8.7732</v>
      </c>
      <c r="T152" s="200">
        <v>200000</v>
      </c>
      <c r="U152" s="202">
        <v>200000</v>
      </c>
      <c r="V152" s="203">
        <f t="shared" si="22"/>
        <v>8.498501399401182</v>
      </c>
      <c r="W152" s="204">
        <f t="shared" si="23"/>
        <v>1699700.2798802364</v>
      </c>
      <c r="X152" s="209"/>
      <c r="AA152" t="s">
        <v>23</v>
      </c>
      <c r="AB152" s="205">
        <v>7.4398</v>
      </c>
      <c r="AC152" s="205">
        <v>2239</v>
      </c>
      <c r="AD152" s="205">
        <v>100.2552</v>
      </c>
      <c r="AE152" s="205">
        <v>80204.15</v>
      </c>
      <c r="AF152" s="205">
        <v>80000</v>
      </c>
      <c r="AG152" s="206">
        <v>7.65</v>
      </c>
      <c r="AH152" s="203">
        <f t="shared" si="24"/>
        <v>7.439846797374816</v>
      </c>
      <c r="AI152" s="204">
        <f t="shared" si="25"/>
        <v>596706.5885136693</v>
      </c>
    </row>
    <row r="153" spans="1:35" ht="12.75">
      <c r="A153" t="str">
        <f t="shared" si="12"/>
        <v>FID MER TERCERA TIT DE PRATI</v>
      </c>
      <c r="B153" s="208">
        <f t="shared" si="15"/>
        <v>4541717.21</v>
      </c>
      <c r="C153" s="218">
        <f t="shared" si="16"/>
        <v>6.267346296791344</v>
      </c>
      <c r="D153" s="219">
        <f t="shared" si="13"/>
        <v>1135.4777066888316</v>
      </c>
      <c r="E153" s="212">
        <f t="shared" si="14"/>
        <v>102.57124047976816</v>
      </c>
      <c r="F153" s="212">
        <f t="shared" si="17"/>
        <v>3.15410474080231</v>
      </c>
      <c r="O153" s="199">
        <v>40966</v>
      </c>
      <c r="P153" s="200" t="s">
        <v>125</v>
      </c>
      <c r="Q153" s="200">
        <v>100</v>
      </c>
      <c r="R153" s="201">
        <v>8.4985</v>
      </c>
      <c r="S153" s="200">
        <v>8.7732</v>
      </c>
      <c r="T153" s="200">
        <v>100000</v>
      </c>
      <c r="U153" s="202">
        <v>100000</v>
      </c>
      <c r="V153" s="203">
        <f t="shared" si="22"/>
        <v>8.498501399401182</v>
      </c>
      <c r="W153" s="204">
        <f t="shared" si="23"/>
        <v>849850.1399401182</v>
      </c>
      <c r="X153" s="209"/>
      <c r="AA153" t="s">
        <v>23</v>
      </c>
      <c r="AB153" s="205">
        <v>0</v>
      </c>
      <c r="AC153" s="205">
        <v>730</v>
      </c>
      <c r="AD153" s="205">
        <v>100</v>
      </c>
      <c r="AE153" s="205">
        <v>1000000</v>
      </c>
      <c r="AF153" s="205">
        <v>1000000</v>
      </c>
      <c r="AG153" s="206">
        <v>6.6582</v>
      </c>
      <c r="AH153" s="203">
        <f t="shared" si="24"/>
        <v>6.498131676196106</v>
      </c>
      <c r="AI153" s="204">
        <f t="shared" si="25"/>
        <v>6498131.676196106</v>
      </c>
    </row>
    <row r="154" spans="1:35" ht="12.75">
      <c r="A154" t="str">
        <f t="shared" si="12"/>
        <v>FID MER TIT AZUCARERA VALDEZ</v>
      </c>
      <c r="B154" s="208">
        <f t="shared" si="15"/>
        <v>1835336.85</v>
      </c>
      <c r="C154" s="218">
        <f t="shared" si="16"/>
        <v>5.012991691263104</v>
      </c>
      <c r="D154" s="219">
        <f t="shared" si="13"/>
        <v>493.31606947247843</v>
      </c>
      <c r="E154" s="212">
        <f t="shared" si="14"/>
        <v>102.63886462047716</v>
      </c>
      <c r="F154" s="212">
        <f t="shared" si="17"/>
        <v>1.370322415201329</v>
      </c>
      <c r="O154" s="199">
        <v>40973</v>
      </c>
      <c r="P154" s="200" t="s">
        <v>125</v>
      </c>
      <c r="Q154" s="200">
        <v>100</v>
      </c>
      <c r="R154" s="201">
        <v>8.498</v>
      </c>
      <c r="S154" s="200">
        <v>8.7727</v>
      </c>
      <c r="T154" s="200">
        <v>400000</v>
      </c>
      <c r="U154" s="202">
        <v>400000</v>
      </c>
      <c r="V154" s="203">
        <f t="shared" si="22"/>
        <v>8.498031960231511</v>
      </c>
      <c r="W154" s="204">
        <f t="shared" si="23"/>
        <v>3399212.7840926046</v>
      </c>
      <c r="X154" s="209"/>
      <c r="AA154" t="s">
        <v>23</v>
      </c>
      <c r="AB154" s="205">
        <v>0</v>
      </c>
      <c r="AC154" s="205">
        <v>646</v>
      </c>
      <c r="AD154" s="205">
        <v>190</v>
      </c>
      <c r="AE154" s="205">
        <v>1900000</v>
      </c>
      <c r="AF154" s="205">
        <v>1000000</v>
      </c>
      <c r="AG154" s="206">
        <v>6.3637</v>
      </c>
      <c r="AH154" s="203">
        <f t="shared" si="24"/>
        <v>6.217239406741726</v>
      </c>
      <c r="AI154" s="204">
        <f t="shared" si="25"/>
        <v>11812754.87280928</v>
      </c>
    </row>
    <row r="155" spans="1:35" ht="12.75">
      <c r="A155" t="str">
        <f t="shared" si="12"/>
        <v>FID MER TIT CADENA PRODUCTIVA INTEGRADA</v>
      </c>
      <c r="B155" s="208">
        <f t="shared" si="15"/>
        <v>893185</v>
      </c>
      <c r="C155" s="218">
        <f t="shared" si="16"/>
        <v>6.552348702630475</v>
      </c>
      <c r="D155" s="219">
        <f t="shared" si="13"/>
        <v>685.709875983139</v>
      </c>
      <c r="E155" s="212">
        <f t="shared" si="14"/>
        <v>100.53537520139415</v>
      </c>
      <c r="F155" s="212">
        <f t="shared" si="17"/>
        <v>1.9047496555087196</v>
      </c>
      <c r="O155" s="199">
        <v>40998</v>
      </c>
      <c r="P155" s="200" t="s">
        <v>125</v>
      </c>
      <c r="Q155" s="200">
        <v>100</v>
      </c>
      <c r="R155" s="201">
        <v>8.4975</v>
      </c>
      <c r="S155" s="200">
        <v>8.7721</v>
      </c>
      <c r="T155" s="200">
        <v>150000</v>
      </c>
      <c r="U155" s="202">
        <v>150000</v>
      </c>
      <c r="V155" s="203">
        <f t="shared" si="22"/>
        <v>8.497468631091465</v>
      </c>
      <c r="W155" s="204">
        <f t="shared" si="23"/>
        <v>1274620.2946637198</v>
      </c>
      <c r="X155" s="209"/>
      <c r="AA155" t="s">
        <v>23</v>
      </c>
      <c r="AB155" s="205">
        <v>0</v>
      </c>
      <c r="AC155" s="205">
        <v>4876</v>
      </c>
      <c r="AD155" s="205">
        <v>100</v>
      </c>
      <c r="AE155" s="205">
        <v>1000</v>
      </c>
      <c r="AF155" s="205">
        <v>1000</v>
      </c>
      <c r="AG155" s="206">
        <v>0</v>
      </c>
      <c r="AH155" s="203">
        <f t="shared" si="24"/>
        <v>0</v>
      </c>
      <c r="AI155" s="204">
        <f t="shared" si="25"/>
        <v>0</v>
      </c>
    </row>
    <row r="156" spans="1:35" ht="12.75">
      <c r="A156" t="str">
        <f t="shared" si="12"/>
        <v>FID MER TIT DECAMERON ECUADOR</v>
      </c>
      <c r="B156" s="208">
        <f t="shared" si="15"/>
        <v>47499204.65</v>
      </c>
      <c r="C156" s="218">
        <f t="shared" si="16"/>
        <v>8.6806</v>
      </c>
      <c r="D156" s="219">
        <f t="shared" si="13"/>
        <v>2516.3369735844617</v>
      </c>
      <c r="E156" s="212">
        <f t="shared" si="14"/>
        <v>99.99832216533336</v>
      </c>
      <c r="F156" s="212">
        <f t="shared" si="17"/>
        <v>6.989824926623505</v>
      </c>
      <c r="O156" s="199">
        <v>41003</v>
      </c>
      <c r="P156" s="200" t="s">
        <v>125</v>
      </c>
      <c r="Q156" s="200">
        <v>100</v>
      </c>
      <c r="R156" s="201">
        <v>8.4975</v>
      </c>
      <c r="S156" s="200">
        <v>8.7722</v>
      </c>
      <c r="T156" s="200">
        <v>100000</v>
      </c>
      <c r="U156" s="202">
        <v>100000</v>
      </c>
      <c r="V156" s="203">
        <f t="shared" si="22"/>
        <v>8.497562519443314</v>
      </c>
      <c r="W156" s="204">
        <f t="shared" si="23"/>
        <v>849756.2519443313</v>
      </c>
      <c r="X156" s="209"/>
      <c r="AA156" t="s">
        <v>23</v>
      </c>
      <c r="AB156" s="205">
        <v>0</v>
      </c>
      <c r="AC156" s="205">
        <v>769</v>
      </c>
      <c r="AD156" s="205">
        <v>100</v>
      </c>
      <c r="AE156" s="205">
        <v>26000</v>
      </c>
      <c r="AF156" s="205">
        <v>26000</v>
      </c>
      <c r="AG156" s="206">
        <v>6.9118</v>
      </c>
      <c r="AH156" s="203">
        <f t="shared" si="24"/>
        <v>6.73954803435457</v>
      </c>
      <c r="AI156" s="204">
        <f t="shared" si="25"/>
        <v>175228.2488932188</v>
      </c>
    </row>
    <row r="157" spans="1:35" ht="12.75">
      <c r="A157" t="str">
        <f t="shared" si="12"/>
        <v>FID MER TIT EBC</v>
      </c>
      <c r="B157" s="208">
        <f t="shared" si="15"/>
        <v>3070277.03</v>
      </c>
      <c r="C157" s="218">
        <f t="shared" si="16"/>
        <v>5.128538852635392</v>
      </c>
      <c r="D157" s="219">
        <f t="shared" si="13"/>
        <v>997.8591019130284</v>
      </c>
      <c r="E157" s="212">
        <f t="shared" si="14"/>
        <v>105.69932677452073</v>
      </c>
      <c r="F157" s="212">
        <f t="shared" si="17"/>
        <v>2.7718308386473014</v>
      </c>
      <c r="O157" s="199">
        <v>40990</v>
      </c>
      <c r="P157" s="200" t="s">
        <v>125</v>
      </c>
      <c r="Q157" s="200">
        <v>100</v>
      </c>
      <c r="R157" s="201">
        <v>8.4975</v>
      </c>
      <c r="S157" s="200">
        <v>8.7721</v>
      </c>
      <c r="T157" s="200">
        <v>25000</v>
      </c>
      <c r="U157" s="202">
        <v>25000</v>
      </c>
      <c r="V157" s="203">
        <f t="shared" si="22"/>
        <v>8.497468631091465</v>
      </c>
      <c r="W157" s="204">
        <f t="shared" si="23"/>
        <v>212436.71577728662</v>
      </c>
      <c r="X157" s="209"/>
      <c r="AA157" t="s">
        <v>23</v>
      </c>
      <c r="AB157" s="205">
        <v>0</v>
      </c>
      <c r="AC157" s="205">
        <v>1613</v>
      </c>
      <c r="AD157" s="205">
        <v>100</v>
      </c>
      <c r="AE157" s="205">
        <v>2440201.66</v>
      </c>
      <c r="AF157" s="205">
        <v>2440201.66</v>
      </c>
      <c r="AG157" s="206">
        <v>6.0198</v>
      </c>
      <c r="AH157" s="203">
        <f t="shared" si="24"/>
        <v>5.888490481635245</v>
      </c>
      <c r="AI157" s="204">
        <f t="shared" si="25"/>
        <v>14369104.248180524</v>
      </c>
    </row>
    <row r="158" spans="1:35" ht="12.75">
      <c r="A158" t="str">
        <f t="shared" si="12"/>
        <v>FID MER TIT SENEFELDER I</v>
      </c>
      <c r="B158" s="208">
        <f t="shared" si="15"/>
        <v>433929.96</v>
      </c>
      <c r="C158" s="218">
        <f t="shared" si="16"/>
        <v>7.424042117241686</v>
      </c>
      <c r="D158" s="219">
        <f t="shared" si="13"/>
        <v>928.4796041278182</v>
      </c>
      <c r="E158" s="212">
        <f t="shared" si="14"/>
        <v>100.1120647322888</v>
      </c>
      <c r="F158" s="212">
        <f t="shared" si="17"/>
        <v>2.579110011466162</v>
      </c>
      <c r="O158" s="199">
        <v>41009</v>
      </c>
      <c r="P158" s="200" t="s">
        <v>125</v>
      </c>
      <c r="Q158" s="200">
        <v>100</v>
      </c>
      <c r="R158" s="201">
        <v>8.5</v>
      </c>
      <c r="S158" s="200">
        <v>8.7748</v>
      </c>
      <c r="T158" s="200">
        <v>1460000</v>
      </c>
      <c r="U158" s="202">
        <v>1460000</v>
      </c>
      <c r="V158" s="203">
        <f t="shared" si="22"/>
        <v>8.500003593868666</v>
      </c>
      <c r="W158" s="204">
        <f t="shared" si="23"/>
        <v>12410005.247048251</v>
      </c>
      <c r="X158" s="209"/>
      <c r="AA158" t="s">
        <v>23</v>
      </c>
      <c r="AB158" s="205">
        <v>0</v>
      </c>
      <c r="AC158" s="205">
        <v>763</v>
      </c>
      <c r="AD158" s="205">
        <v>100</v>
      </c>
      <c r="AE158" s="205">
        <v>30000</v>
      </c>
      <c r="AF158" s="205">
        <v>30000</v>
      </c>
      <c r="AG158" s="206">
        <v>6.9126</v>
      </c>
      <c r="AH158" s="203">
        <f t="shared" si="24"/>
        <v>6.740308920256322</v>
      </c>
      <c r="AI158" s="204">
        <f t="shared" si="25"/>
        <v>202209.26760768966</v>
      </c>
    </row>
    <row r="159" spans="1:35" ht="12.75">
      <c r="A159" t="str">
        <f t="shared" si="12"/>
        <v>FID MER TIT SINDICADA - EQUITATIS IBC</v>
      </c>
      <c r="B159" s="208">
        <f t="shared" si="15"/>
        <v>19900000</v>
      </c>
      <c r="C159" s="218">
        <f t="shared" si="16"/>
        <v>6.694440351758794</v>
      </c>
      <c r="D159" s="219">
        <f t="shared" si="13"/>
        <v>417.64371859296483</v>
      </c>
      <c r="E159" s="212">
        <f t="shared" si="14"/>
        <v>100</v>
      </c>
      <c r="F159" s="212">
        <f t="shared" si="17"/>
        <v>1.1601214405360134</v>
      </c>
      <c r="O159" s="199">
        <v>41010</v>
      </c>
      <c r="P159" s="200" t="s">
        <v>125</v>
      </c>
      <c r="Q159" s="200">
        <v>100</v>
      </c>
      <c r="R159" s="201">
        <v>8.4999</v>
      </c>
      <c r="S159" s="200">
        <v>8.7747</v>
      </c>
      <c r="T159" s="200">
        <v>190000</v>
      </c>
      <c r="U159" s="202">
        <v>190000</v>
      </c>
      <c r="V159" s="203">
        <f t="shared" si="22"/>
        <v>8.499909707199915</v>
      </c>
      <c r="W159" s="204">
        <f t="shared" si="23"/>
        <v>1614982.844367984</v>
      </c>
      <c r="X159" s="209"/>
      <c r="AA159" t="s">
        <v>23</v>
      </c>
      <c r="AB159" s="205">
        <v>0</v>
      </c>
      <c r="AC159" s="205">
        <v>763</v>
      </c>
      <c r="AD159" s="205">
        <v>100</v>
      </c>
      <c r="AE159" s="205">
        <v>2000</v>
      </c>
      <c r="AF159" s="205">
        <v>2000</v>
      </c>
      <c r="AG159" s="206">
        <v>6.9126</v>
      </c>
      <c r="AH159" s="203">
        <f t="shared" si="24"/>
        <v>6.740308920256322</v>
      </c>
      <c r="AI159" s="204">
        <f t="shared" si="25"/>
        <v>13480.617840512643</v>
      </c>
    </row>
    <row r="160" spans="1:35" ht="12.75">
      <c r="A160" t="str">
        <f t="shared" si="12"/>
        <v>FID MER TIT T DE CREDITO DE PRATI</v>
      </c>
      <c r="B160" s="208">
        <f t="shared" si="15"/>
        <v>3275529.8</v>
      </c>
      <c r="C160" s="218">
        <f t="shared" si="16"/>
        <v>6.784531902977042</v>
      </c>
      <c r="D160" s="219">
        <f t="shared" si="13"/>
        <v>1067.5640437464497</v>
      </c>
      <c r="E160" s="212">
        <f t="shared" si="14"/>
        <v>101.15157382859954</v>
      </c>
      <c r="F160" s="212">
        <f t="shared" si="17"/>
        <v>2.9654556770734715</v>
      </c>
      <c r="O160" s="199">
        <v>41029</v>
      </c>
      <c r="P160" s="200" t="s">
        <v>125</v>
      </c>
      <c r="Q160" s="200">
        <v>100</v>
      </c>
      <c r="R160" s="201">
        <v>8.4983</v>
      </c>
      <c r="S160" s="200">
        <v>8.773</v>
      </c>
      <c r="T160" s="200">
        <v>120000</v>
      </c>
      <c r="U160" s="202">
        <v>120000</v>
      </c>
      <c r="V160" s="203">
        <f t="shared" si="22"/>
        <v>8.498313623927523</v>
      </c>
      <c r="W160" s="204">
        <f t="shared" si="23"/>
        <v>1019797.6348713028</v>
      </c>
      <c r="X160" s="209"/>
      <c r="AA160" t="s">
        <v>23</v>
      </c>
      <c r="AB160" s="205">
        <v>0</v>
      </c>
      <c r="AC160" s="205">
        <v>1939</v>
      </c>
      <c r="AD160" s="205">
        <v>100</v>
      </c>
      <c r="AE160" s="205">
        <v>15800000</v>
      </c>
      <c r="AF160" s="205">
        <v>15800000</v>
      </c>
      <c r="AG160" s="206">
        <v>5.999</v>
      </c>
      <c r="AH160" s="203">
        <f t="shared" si="24"/>
        <v>5.868581224599723</v>
      </c>
      <c r="AI160" s="204">
        <f t="shared" si="25"/>
        <v>92723583.34867562</v>
      </c>
    </row>
    <row r="161" spans="1:35" ht="12.75">
      <c r="A161" t="str">
        <f t="shared" si="12"/>
        <v>FID MER TIT TELCONET</v>
      </c>
      <c r="B161" s="208">
        <f t="shared" si="15"/>
        <v>151250.64</v>
      </c>
      <c r="C161" s="218">
        <f t="shared" si="16"/>
        <v>5.653774199256281</v>
      </c>
      <c r="D161" s="219">
        <f t="shared" si="13"/>
        <v>467.38232175414254</v>
      </c>
      <c r="E161" s="212">
        <f t="shared" si="14"/>
        <v>101.68126626979559</v>
      </c>
      <c r="F161" s="212">
        <f t="shared" si="17"/>
        <v>1.2982842270948405</v>
      </c>
      <c r="O161" s="199">
        <v>41023</v>
      </c>
      <c r="P161" s="200" t="s">
        <v>125</v>
      </c>
      <c r="Q161" s="200">
        <v>100</v>
      </c>
      <c r="R161" s="201">
        <v>8.4986</v>
      </c>
      <c r="S161" s="200">
        <v>8.7733</v>
      </c>
      <c r="T161" s="200">
        <v>250000</v>
      </c>
      <c r="U161" s="202">
        <v>250000</v>
      </c>
      <c r="V161" s="203">
        <f t="shared" si="22"/>
        <v>8.498595287040889</v>
      </c>
      <c r="W161" s="204">
        <f t="shared" si="23"/>
        <v>2124648.8217602223</v>
      </c>
      <c r="X161" s="204"/>
      <c r="AA161" t="s">
        <v>23</v>
      </c>
      <c r="AB161" s="205">
        <v>0</v>
      </c>
      <c r="AC161" s="205">
        <v>3079</v>
      </c>
      <c r="AD161" s="205">
        <v>100</v>
      </c>
      <c r="AE161" s="205">
        <v>8100000</v>
      </c>
      <c r="AF161" s="205">
        <v>8100000</v>
      </c>
      <c r="AG161" s="206">
        <v>6.8566</v>
      </c>
      <c r="AH161" s="203">
        <f t="shared" si="24"/>
        <v>6.6870365915887575</v>
      </c>
      <c r="AI161" s="204">
        <f t="shared" si="25"/>
        <v>54164996.391868934</v>
      </c>
    </row>
    <row r="162" spans="1:35" ht="12.75">
      <c r="A162" t="str">
        <f t="shared" si="12"/>
        <v>FID MER VII TIT CA AU AMAZONAS</v>
      </c>
      <c r="B162" s="208">
        <f t="shared" si="15"/>
        <v>16770791.9</v>
      </c>
      <c r="C162" s="218">
        <f t="shared" si="16"/>
        <v>7.455838752688061</v>
      </c>
      <c r="D162" s="219">
        <f t="shared" si="13"/>
        <v>788.5678513499412</v>
      </c>
      <c r="E162" s="212">
        <f t="shared" si="14"/>
        <v>100.29340899880881</v>
      </c>
      <c r="F162" s="212">
        <f t="shared" si="17"/>
        <v>2.1904662537498365</v>
      </c>
      <c r="O162" s="199">
        <v>41024</v>
      </c>
      <c r="P162" s="200" t="s">
        <v>125</v>
      </c>
      <c r="Q162" s="200">
        <v>100</v>
      </c>
      <c r="R162" s="201">
        <v>8.4986</v>
      </c>
      <c r="S162" s="200">
        <v>8.7733</v>
      </c>
      <c r="T162" s="200">
        <v>250000</v>
      </c>
      <c r="U162" s="202">
        <v>250000</v>
      </c>
      <c r="V162" s="203">
        <f t="shared" si="22"/>
        <v>8.498595287040889</v>
      </c>
      <c r="W162" s="204">
        <f t="shared" si="23"/>
        <v>2124648.8217602223</v>
      </c>
      <c r="X162" s="209"/>
      <c r="AA162" t="s">
        <v>23</v>
      </c>
      <c r="AB162" s="205">
        <v>0</v>
      </c>
      <c r="AC162" s="205">
        <v>3589</v>
      </c>
      <c r="AD162" s="205">
        <v>100</v>
      </c>
      <c r="AE162" s="205">
        <v>2400000</v>
      </c>
      <c r="AF162" s="205">
        <v>2400000</v>
      </c>
      <c r="AG162" s="206">
        <v>7.6028</v>
      </c>
      <c r="AH162" s="203">
        <f t="shared" si="24"/>
        <v>7.395178140619851</v>
      </c>
      <c r="AI162" s="204">
        <f t="shared" si="25"/>
        <v>17748427.537487645</v>
      </c>
    </row>
    <row r="163" spans="1:35" ht="12.75">
      <c r="A163" t="str">
        <f t="shared" si="12"/>
        <v>FID MERC 1 TIT AGRIPAC</v>
      </c>
      <c r="B163" s="208">
        <f t="shared" si="15"/>
        <v>789059.73</v>
      </c>
      <c r="C163" s="218">
        <f t="shared" si="16"/>
        <v>5.594000665489544</v>
      </c>
      <c r="D163" s="219">
        <f t="shared" si="13"/>
        <v>488.99229514602143</v>
      </c>
      <c r="E163" s="212">
        <f t="shared" si="14"/>
        <v>101.99149830585702</v>
      </c>
      <c r="F163" s="212">
        <f t="shared" si="17"/>
        <v>1.3583119309611706</v>
      </c>
      <c r="O163" s="199">
        <v>41008</v>
      </c>
      <c r="P163" s="200" t="s">
        <v>100</v>
      </c>
      <c r="Q163" s="200">
        <v>103.6164</v>
      </c>
      <c r="R163" s="201">
        <v>5.678</v>
      </c>
      <c r="S163" s="200">
        <v>5.8</v>
      </c>
      <c r="T163" s="200">
        <v>103616.41</v>
      </c>
      <c r="U163" s="202">
        <v>103616.41</v>
      </c>
      <c r="V163" s="203">
        <f t="shared" si="22"/>
        <v>5.677954964260401</v>
      </c>
      <c r="W163" s="204">
        <f t="shared" si="23"/>
        <v>588329.3095383411</v>
      </c>
      <c r="X163" s="209"/>
      <c r="AA163" t="s">
        <v>23</v>
      </c>
      <c r="AB163" s="205">
        <v>0</v>
      </c>
      <c r="AC163" s="205">
        <v>649</v>
      </c>
      <c r="AD163" s="205">
        <v>100</v>
      </c>
      <c r="AE163" s="205">
        <v>1000000</v>
      </c>
      <c r="AF163" s="205">
        <v>1000000</v>
      </c>
      <c r="AG163" s="206">
        <v>80.7385</v>
      </c>
      <c r="AH163" s="203">
        <f t="shared" si="24"/>
        <v>63.79136625588586</v>
      </c>
      <c r="AI163" s="204">
        <f t="shared" si="25"/>
        <v>63791366.25588586</v>
      </c>
    </row>
    <row r="164" spans="1:35" ht="12.75">
      <c r="A164" t="str">
        <f t="shared" si="12"/>
        <v>FID MERC 1 TIT ECUAVEGETAL</v>
      </c>
      <c r="B164" s="208">
        <f t="shared" si="15"/>
        <v>202154.72</v>
      </c>
      <c r="C164" s="218">
        <f t="shared" si="16"/>
        <v>7.9782</v>
      </c>
      <c r="D164" s="219">
        <f t="shared" si="13"/>
        <v>822</v>
      </c>
      <c r="E164" s="212">
        <f t="shared" si="14"/>
        <v>101.07739999999998</v>
      </c>
      <c r="F164" s="212">
        <f t="shared" si="17"/>
        <v>2.283333333333333</v>
      </c>
      <c r="O164" s="199">
        <v>40917</v>
      </c>
      <c r="P164" s="200" t="s">
        <v>100</v>
      </c>
      <c r="Q164" s="200">
        <v>102.9596</v>
      </c>
      <c r="R164" s="201">
        <v>6.146729</v>
      </c>
      <c r="S164" s="200">
        <v>6.2899</v>
      </c>
      <c r="T164" s="200">
        <v>20591.92</v>
      </c>
      <c r="U164" s="202">
        <v>20591.92</v>
      </c>
      <c r="V164" s="203">
        <f t="shared" si="22"/>
        <v>6.146758040251754</v>
      </c>
      <c r="W164" s="204">
        <f t="shared" si="23"/>
        <v>126573.54982422089</v>
      </c>
      <c r="X164" s="209"/>
      <c r="AA164" t="s">
        <v>23</v>
      </c>
      <c r="AB164" s="205">
        <v>0</v>
      </c>
      <c r="AC164" s="205">
        <v>4849</v>
      </c>
      <c r="AD164" s="205">
        <v>100</v>
      </c>
      <c r="AE164" s="205">
        <v>2699000</v>
      </c>
      <c r="AF164" s="205">
        <v>2699000</v>
      </c>
      <c r="AG164" s="206">
        <v>7.6028</v>
      </c>
      <c r="AH164" s="203">
        <f t="shared" si="24"/>
        <v>7.395178140619851</v>
      </c>
      <c r="AI164" s="204">
        <f t="shared" si="25"/>
        <v>19959585.80153298</v>
      </c>
    </row>
    <row r="165" spans="1:35" ht="12.75">
      <c r="A165" t="str">
        <f t="shared" si="12"/>
        <v>FID MERC 1 TIT INTEROC</v>
      </c>
      <c r="B165" s="208">
        <f t="shared" si="15"/>
        <v>1236311.55</v>
      </c>
      <c r="C165" s="218">
        <f t="shared" si="16"/>
        <v>5.671462854532905</v>
      </c>
      <c r="D165" s="219">
        <f t="shared" si="13"/>
        <v>432.7417089567755</v>
      </c>
      <c r="E165" s="212">
        <f t="shared" si="14"/>
        <v>101.15937414907573</v>
      </c>
      <c r="F165" s="212">
        <f t="shared" si="17"/>
        <v>1.2020603026577097</v>
      </c>
      <c r="O165" s="199">
        <v>40917</v>
      </c>
      <c r="P165" s="200" t="s">
        <v>100</v>
      </c>
      <c r="Q165" s="200">
        <v>102.9596</v>
      </c>
      <c r="R165" s="201">
        <v>6.146729</v>
      </c>
      <c r="S165" s="200">
        <v>6.2899</v>
      </c>
      <c r="T165" s="200">
        <v>20591.92</v>
      </c>
      <c r="U165" s="202">
        <v>20591.92</v>
      </c>
      <c r="V165" s="203">
        <f t="shared" si="22"/>
        <v>6.146758040251754</v>
      </c>
      <c r="W165" s="204">
        <f t="shared" si="23"/>
        <v>126573.54982422089</v>
      </c>
      <c r="X165" s="209"/>
      <c r="AA165" t="s">
        <v>23</v>
      </c>
      <c r="AB165" s="205">
        <v>0</v>
      </c>
      <c r="AC165" s="205">
        <v>4879</v>
      </c>
      <c r="AD165" s="205">
        <v>100</v>
      </c>
      <c r="AE165" s="205">
        <v>1000</v>
      </c>
      <c r="AF165" s="205">
        <v>1000</v>
      </c>
      <c r="AG165" s="206">
        <v>0</v>
      </c>
      <c r="AH165" s="203">
        <f t="shared" si="24"/>
        <v>0</v>
      </c>
      <c r="AI165" s="204">
        <f t="shared" si="25"/>
        <v>0</v>
      </c>
    </row>
    <row r="166" spans="1:35" ht="12.75">
      <c r="A166" t="str">
        <f t="shared" si="12"/>
        <v>FID MERC 1 TIT VECONSA</v>
      </c>
      <c r="B166" s="208">
        <f t="shared" si="15"/>
        <v>279527.54</v>
      </c>
      <c r="C166" s="218">
        <f t="shared" si="16"/>
        <v>8.2432</v>
      </c>
      <c r="D166" s="219">
        <f t="shared" si="13"/>
        <v>875</v>
      </c>
      <c r="E166" s="212">
        <f t="shared" si="14"/>
        <v>100.9329</v>
      </c>
      <c r="F166" s="212">
        <f t="shared" si="17"/>
        <v>2.4305555555555554</v>
      </c>
      <c r="O166" s="199">
        <v>40939</v>
      </c>
      <c r="P166" s="200" t="s">
        <v>99</v>
      </c>
      <c r="Q166" s="200">
        <v>102.3856</v>
      </c>
      <c r="R166" s="201">
        <v>5.6012</v>
      </c>
      <c r="S166" s="200">
        <v>5.72</v>
      </c>
      <c r="T166" s="200">
        <v>153578.4</v>
      </c>
      <c r="U166" s="202">
        <v>153578.4</v>
      </c>
      <c r="V166" s="203">
        <f t="shared" si="22"/>
        <v>5.601245505416319</v>
      </c>
      <c r="W166" s="204">
        <f t="shared" si="23"/>
        <v>860230.3227290296</v>
      </c>
      <c r="X166" s="209"/>
      <c r="AA166" t="s">
        <v>23</v>
      </c>
      <c r="AB166" s="205">
        <v>0</v>
      </c>
      <c r="AC166" s="205">
        <v>776</v>
      </c>
      <c r="AD166" s="205">
        <v>100</v>
      </c>
      <c r="AE166" s="205">
        <v>34000</v>
      </c>
      <c r="AF166" s="205">
        <v>34000</v>
      </c>
      <c r="AG166" s="206">
        <v>6.9109</v>
      </c>
      <c r="AH166" s="203">
        <f t="shared" si="24"/>
        <v>6.738692032611038</v>
      </c>
      <c r="AI166" s="204">
        <f t="shared" si="25"/>
        <v>229115.52910877528</v>
      </c>
    </row>
    <row r="167" spans="1:35" ht="12.75">
      <c r="A167" t="str">
        <f t="shared" si="12"/>
        <v>FID MERC 3 TIT DE FLUJOS AGRIPAC</v>
      </c>
      <c r="B167" s="208">
        <f t="shared" si="15"/>
        <v>15108970.049999999</v>
      </c>
      <c r="C167" s="218">
        <f t="shared" si="16"/>
        <v>8.376826892583589</v>
      </c>
      <c r="D167" s="219">
        <f t="shared" si="13"/>
        <v>1618.857971854938</v>
      </c>
      <c r="E167" s="212">
        <f t="shared" si="14"/>
        <v>99.99980277010887</v>
      </c>
      <c r="F167" s="212">
        <f t="shared" si="17"/>
        <v>4.496827699597049</v>
      </c>
      <c r="O167" s="199">
        <v>40939</v>
      </c>
      <c r="P167" s="200" t="s">
        <v>99</v>
      </c>
      <c r="Q167" s="200">
        <v>102.3856</v>
      </c>
      <c r="R167" s="201">
        <v>5.6012</v>
      </c>
      <c r="S167" s="200">
        <v>5.72</v>
      </c>
      <c r="T167" s="200">
        <v>184294.08</v>
      </c>
      <c r="U167" s="202">
        <v>184294.08</v>
      </c>
      <c r="V167" s="203">
        <f t="shared" si="22"/>
        <v>5.601245505416319</v>
      </c>
      <c r="W167" s="204">
        <f t="shared" si="23"/>
        <v>1032276.3872748355</v>
      </c>
      <c r="X167" s="209"/>
      <c r="AA167" t="s">
        <v>23</v>
      </c>
      <c r="AB167" s="205">
        <v>0</v>
      </c>
      <c r="AC167" s="205">
        <v>776</v>
      </c>
      <c r="AD167" s="205">
        <v>100</v>
      </c>
      <c r="AE167" s="205">
        <v>20000</v>
      </c>
      <c r="AF167" s="205">
        <v>20000</v>
      </c>
      <c r="AG167" s="206">
        <v>6.9109</v>
      </c>
      <c r="AH167" s="203">
        <f t="shared" si="24"/>
        <v>6.738692032611038</v>
      </c>
      <c r="AI167" s="204">
        <f t="shared" si="25"/>
        <v>134773.84065222077</v>
      </c>
    </row>
    <row r="168" spans="1:35" ht="12.75">
      <c r="A168" t="str">
        <f t="shared" si="12"/>
        <v>FID MERC BANCO BOLIVARIANO 1</v>
      </c>
      <c r="B168" s="208">
        <f t="shared" si="15"/>
        <v>659010.77</v>
      </c>
      <c r="C168" s="218">
        <f t="shared" si="16"/>
        <v>4.975766880620175</v>
      </c>
      <c r="D168" s="219">
        <f t="shared" si="13"/>
        <v>1103.9221831230464</v>
      </c>
      <c r="E168" s="212">
        <f t="shared" si="14"/>
        <v>100.1103094927308</v>
      </c>
      <c r="F168" s="212">
        <f t="shared" si="17"/>
        <v>3.066450508675129</v>
      </c>
      <c r="O168" s="199">
        <v>40952</v>
      </c>
      <c r="P168" s="200" t="s">
        <v>99</v>
      </c>
      <c r="Q168" s="200">
        <v>102.6298</v>
      </c>
      <c r="R168" s="201">
        <v>5.3901</v>
      </c>
      <c r="S168" s="200">
        <v>5.5</v>
      </c>
      <c r="T168" s="200">
        <v>153944.68</v>
      </c>
      <c r="U168" s="202">
        <v>153944.68</v>
      </c>
      <c r="V168" s="203">
        <f t="shared" si="22"/>
        <v>5.390069776496986</v>
      </c>
      <c r="W168" s="204">
        <f t="shared" si="23"/>
        <v>829772.5669205</v>
      </c>
      <c r="X168" s="209"/>
      <c r="AA168" t="s">
        <v>23</v>
      </c>
      <c r="AB168" s="205">
        <v>6.8234</v>
      </c>
      <c r="AC168" s="205">
        <v>2282</v>
      </c>
      <c r="AD168" s="205">
        <v>102.1036</v>
      </c>
      <c r="AE168" s="205">
        <v>20420.72</v>
      </c>
      <c r="AF168" s="205">
        <v>20000</v>
      </c>
      <c r="AG168" s="206">
        <v>7</v>
      </c>
      <c r="AH168" s="203">
        <f t="shared" si="24"/>
        <v>6.82341000072455</v>
      </c>
      <c r="AI168" s="204">
        <f t="shared" si="25"/>
        <v>139338.94506999585</v>
      </c>
    </row>
    <row r="169" spans="1:35" ht="12.75">
      <c r="A169" t="str">
        <f t="shared" si="12"/>
        <v>FID MERC I TITULAR FLUJOS FUT ARTEFACTA</v>
      </c>
      <c r="B169" s="208">
        <f t="shared" si="15"/>
        <v>552215.55</v>
      </c>
      <c r="C169" s="218">
        <f t="shared" si="16"/>
        <v>6.871785025012424</v>
      </c>
      <c r="D169" s="219">
        <f t="shared" si="13"/>
        <v>340.38007011935827</v>
      </c>
      <c r="E169" s="212">
        <f t="shared" si="14"/>
        <v>100.40394640624118</v>
      </c>
      <c r="F169" s="212">
        <f t="shared" si="17"/>
        <v>0.9455001947759952</v>
      </c>
      <c r="O169" s="199">
        <v>41010</v>
      </c>
      <c r="P169" s="200" t="s">
        <v>99</v>
      </c>
      <c r="Q169" s="200">
        <v>103.1043</v>
      </c>
      <c r="R169" s="201">
        <v>5.0053</v>
      </c>
      <c r="S169" s="200">
        <v>5.1</v>
      </c>
      <c r="T169" s="200">
        <v>14176.84</v>
      </c>
      <c r="U169" s="202">
        <v>14176.84</v>
      </c>
      <c r="V169" s="203">
        <f t="shared" si="22"/>
        <v>5.0052662391725455</v>
      </c>
      <c r="W169" s="204">
        <f t="shared" si="23"/>
        <v>70958.8586301509</v>
      </c>
      <c r="X169" s="209"/>
      <c r="AA169" t="s">
        <v>23</v>
      </c>
      <c r="AB169" s="205">
        <v>6.8234</v>
      </c>
      <c r="AC169" s="205">
        <v>2282</v>
      </c>
      <c r="AD169" s="205">
        <v>102.1036</v>
      </c>
      <c r="AE169" s="205">
        <v>20420.72</v>
      </c>
      <c r="AF169" s="205">
        <v>20000</v>
      </c>
      <c r="AG169" s="206">
        <v>7</v>
      </c>
      <c r="AH169" s="203">
        <f t="shared" si="24"/>
        <v>6.82341000072455</v>
      </c>
      <c r="AI169" s="204">
        <f t="shared" si="25"/>
        <v>139338.94506999585</v>
      </c>
    </row>
    <row r="170" spans="1:35" ht="12.75">
      <c r="A170" t="str">
        <f t="shared" si="12"/>
        <v>FID MERC II TIT DE FLUJOS AGRIPAC</v>
      </c>
      <c r="B170" s="208">
        <f t="shared" si="15"/>
        <v>3769401.24</v>
      </c>
      <c r="C170" s="218">
        <f t="shared" si="16"/>
        <v>5.905186425585724</v>
      </c>
      <c r="D170" s="219">
        <f t="shared" si="13"/>
        <v>997.4823445672766</v>
      </c>
      <c r="E170" s="212">
        <f t="shared" si="14"/>
        <v>103.34724312749549</v>
      </c>
      <c r="F170" s="212">
        <f t="shared" si="17"/>
        <v>2.770784290464657</v>
      </c>
      <c r="O170" s="199">
        <v>41010</v>
      </c>
      <c r="P170" s="200" t="s">
        <v>99</v>
      </c>
      <c r="Q170" s="200">
        <v>103.1043</v>
      </c>
      <c r="R170" s="201">
        <v>5.0053</v>
      </c>
      <c r="S170" s="200">
        <v>5.1</v>
      </c>
      <c r="T170" s="200">
        <v>14176.84</v>
      </c>
      <c r="U170" s="202">
        <v>14176.84</v>
      </c>
      <c r="V170" s="203">
        <f t="shared" si="22"/>
        <v>5.0052662391725455</v>
      </c>
      <c r="W170" s="204">
        <f t="shared" si="23"/>
        <v>70958.8586301509</v>
      </c>
      <c r="X170" s="204"/>
      <c r="AA170" t="s">
        <v>23</v>
      </c>
      <c r="AB170" s="205">
        <v>6.8234</v>
      </c>
      <c r="AC170" s="205">
        <v>2282</v>
      </c>
      <c r="AD170" s="205">
        <v>102.1036</v>
      </c>
      <c r="AE170" s="205">
        <v>20420.72</v>
      </c>
      <c r="AF170" s="205">
        <v>20000</v>
      </c>
      <c r="AG170" s="206">
        <v>7</v>
      </c>
      <c r="AH170" s="203">
        <f t="shared" si="24"/>
        <v>6.82341000072455</v>
      </c>
      <c r="AI170" s="204">
        <f t="shared" si="25"/>
        <v>139338.94506999585</v>
      </c>
    </row>
    <row r="171" spans="1:35" ht="12.75">
      <c r="A171" t="str">
        <f t="shared" si="12"/>
        <v>FID MERC II TIT FLUJOS DINERS</v>
      </c>
      <c r="B171" s="208">
        <f t="shared" si="15"/>
        <v>3892961.98</v>
      </c>
      <c r="C171" s="218">
        <f t="shared" si="16"/>
        <v>6.656289797400999</v>
      </c>
      <c r="D171" s="219">
        <f t="shared" si="13"/>
        <v>1776.3996459503055</v>
      </c>
      <c r="E171" s="212">
        <f t="shared" si="14"/>
        <v>101.88350210482588</v>
      </c>
      <c r="F171" s="212">
        <f t="shared" si="17"/>
        <v>4.934443460973071</v>
      </c>
      <c r="O171" s="199">
        <v>40925</v>
      </c>
      <c r="P171" s="200" t="s">
        <v>104</v>
      </c>
      <c r="Q171" s="200">
        <v>101.4232</v>
      </c>
      <c r="R171" s="201">
        <v>5</v>
      </c>
      <c r="S171" s="200">
        <v>5.0945</v>
      </c>
      <c r="T171" s="200">
        <v>45640.44</v>
      </c>
      <c r="U171" s="202">
        <v>45640.44</v>
      </c>
      <c r="V171" s="203">
        <f t="shared" si="22"/>
        <v>4.9999675410777655</v>
      </c>
      <c r="W171" s="204">
        <f t="shared" si="23"/>
        <v>228200.71856050732</v>
      </c>
      <c r="X171" s="209"/>
      <c r="AA171" t="s">
        <v>23</v>
      </c>
      <c r="AB171" s="205">
        <v>0</v>
      </c>
      <c r="AC171" s="205">
        <v>816</v>
      </c>
      <c r="AD171" s="205">
        <v>99.9811</v>
      </c>
      <c r="AE171" s="205">
        <v>149971.65</v>
      </c>
      <c r="AF171" s="205">
        <v>150000</v>
      </c>
      <c r="AG171" s="206">
        <v>6.9228</v>
      </c>
      <c r="AH171" s="203">
        <f t="shared" si="24"/>
        <v>6.750009841218496</v>
      </c>
      <c r="AI171" s="204">
        <f t="shared" si="25"/>
        <v>1012310.1134037758</v>
      </c>
    </row>
    <row r="172" spans="1:35" ht="12.75">
      <c r="A172" t="str">
        <f t="shared" si="12"/>
        <v>FID MERC II TIT INDUSTRIAS ALES</v>
      </c>
      <c r="B172" s="208">
        <f t="shared" si="15"/>
        <v>5371973.39</v>
      </c>
      <c r="C172" s="218">
        <f t="shared" si="16"/>
        <v>6.591906519414834</v>
      </c>
      <c r="D172" s="219">
        <f t="shared" si="13"/>
        <v>972.6191766337098</v>
      </c>
      <c r="E172" s="212">
        <f t="shared" si="14"/>
        <v>103.30233002497054</v>
      </c>
      <c r="F172" s="212">
        <f t="shared" si="17"/>
        <v>2.7017199350936383</v>
      </c>
      <c r="O172" s="199">
        <v>41026</v>
      </c>
      <c r="P172" s="200" t="s">
        <v>121</v>
      </c>
      <c r="Q172" s="200">
        <v>100</v>
      </c>
      <c r="R172" s="201">
        <v>0</v>
      </c>
      <c r="S172" s="200">
        <v>6.9192</v>
      </c>
      <c r="T172" s="200">
        <v>25000</v>
      </c>
      <c r="U172" s="202">
        <v>25000</v>
      </c>
      <c r="V172" s="203">
        <f t="shared" si="22"/>
        <v>6.746586066018168</v>
      </c>
      <c r="W172" s="204">
        <f t="shared" si="23"/>
        <v>168664.65165045418</v>
      </c>
      <c r="X172" s="209"/>
      <c r="AA172" t="s">
        <v>23</v>
      </c>
      <c r="AB172" s="205">
        <v>6.5372</v>
      </c>
      <c r="AC172" s="205">
        <v>1216</v>
      </c>
      <c r="AD172" s="205">
        <v>100.7919</v>
      </c>
      <c r="AE172" s="205">
        <v>388048.82</v>
      </c>
      <c r="AF172" s="205">
        <v>385000</v>
      </c>
      <c r="AG172" s="206">
        <v>6.6992</v>
      </c>
      <c r="AH172" s="203">
        <f t="shared" si="24"/>
        <v>6.537191076781124</v>
      </c>
      <c r="AI172" s="204">
        <f t="shared" si="25"/>
        <v>2536749.2834594445</v>
      </c>
    </row>
    <row r="173" spans="1:35" ht="12.75">
      <c r="A173" t="str">
        <f t="shared" si="12"/>
        <v>FID MERC IRREV II TIT FLUJOS FADESA</v>
      </c>
      <c r="B173" s="208">
        <f t="shared" si="15"/>
        <v>1554418.5</v>
      </c>
      <c r="C173" s="218">
        <f t="shared" si="16"/>
        <v>4.117299266268383</v>
      </c>
      <c r="D173" s="219">
        <f t="shared" si="13"/>
        <v>374.389981880684</v>
      </c>
      <c r="E173" s="212">
        <f t="shared" si="14"/>
        <v>102.50463447745636</v>
      </c>
      <c r="F173" s="212">
        <f t="shared" si="17"/>
        <v>1.0399721718907888</v>
      </c>
      <c r="O173" s="199">
        <v>41004</v>
      </c>
      <c r="P173" s="200" t="s">
        <v>121</v>
      </c>
      <c r="Q173" s="200">
        <v>100</v>
      </c>
      <c r="R173" s="201">
        <v>0</v>
      </c>
      <c r="S173" s="200">
        <v>6.9142</v>
      </c>
      <c r="T173" s="200">
        <v>6000</v>
      </c>
      <c r="U173" s="202">
        <v>6000</v>
      </c>
      <c r="V173" s="203">
        <f t="shared" si="22"/>
        <v>6.741830679249272</v>
      </c>
      <c r="W173" s="204">
        <f t="shared" si="23"/>
        <v>40450.98407549563</v>
      </c>
      <c r="X173" s="209"/>
      <c r="AA173" t="s">
        <v>23</v>
      </c>
      <c r="AB173" s="205">
        <v>6.6674</v>
      </c>
      <c r="AC173" s="205">
        <v>594</v>
      </c>
      <c r="AD173" s="205">
        <v>100.0674</v>
      </c>
      <c r="AE173" s="205">
        <v>200134.8</v>
      </c>
      <c r="AF173" s="205">
        <v>200000</v>
      </c>
      <c r="AG173" s="206">
        <v>6.836</v>
      </c>
      <c r="AH173" s="203">
        <f t="shared" si="24"/>
        <v>6.6674347170296855</v>
      </c>
      <c r="AI173" s="204">
        <f t="shared" si="25"/>
        <v>1334385.7136057927</v>
      </c>
    </row>
    <row r="174" spans="1:35" ht="12.75">
      <c r="A174" t="str">
        <f t="shared" si="12"/>
        <v>FID MERC IV TITULARI  CA  AU  AMAZONAS</v>
      </c>
      <c r="B174" s="208">
        <f t="shared" si="15"/>
        <v>92365.61</v>
      </c>
      <c r="C174" s="218">
        <f t="shared" si="16"/>
        <v>8.268190763066471</v>
      </c>
      <c r="D174" s="219">
        <f t="shared" si="13"/>
        <v>295.17252438434605</v>
      </c>
      <c r="E174" s="212">
        <f t="shared" si="14"/>
        <v>100.54664671524391</v>
      </c>
      <c r="F174" s="212">
        <f t="shared" si="17"/>
        <v>0.8199236788454057</v>
      </c>
      <c r="O174" s="199">
        <v>40967</v>
      </c>
      <c r="P174" s="200" t="s">
        <v>121</v>
      </c>
      <c r="Q174" s="200">
        <v>100</v>
      </c>
      <c r="R174" s="201">
        <v>0</v>
      </c>
      <c r="S174" s="200">
        <v>6.9096</v>
      </c>
      <c r="T174" s="200">
        <v>100000</v>
      </c>
      <c r="U174" s="202">
        <v>100000</v>
      </c>
      <c r="V174" s="203">
        <f t="shared" si="22"/>
        <v>6.737455576106743</v>
      </c>
      <c r="W174" s="204">
        <f t="shared" si="23"/>
        <v>673745.5576106743</v>
      </c>
      <c r="X174" s="209"/>
      <c r="AA174" t="s">
        <v>23</v>
      </c>
      <c r="AB174" s="205">
        <v>7.5</v>
      </c>
      <c r="AC174" s="205">
        <v>960</v>
      </c>
      <c r="AD174" s="205">
        <v>99.9961</v>
      </c>
      <c r="AE174" s="205">
        <v>73330.5</v>
      </c>
      <c r="AF174" s="205">
        <v>73333.33</v>
      </c>
      <c r="AG174" s="206">
        <v>7.7136</v>
      </c>
      <c r="AH174" s="203">
        <f t="shared" si="24"/>
        <v>7.500012694114311</v>
      </c>
      <c r="AI174" s="204">
        <f t="shared" si="25"/>
        <v>549979.6808657495</v>
      </c>
    </row>
    <row r="175" spans="1:35" ht="12.75">
      <c r="A175" t="str">
        <f aca="true" t="shared" si="26" ref="A175:A196">+A69</f>
        <v>FID MERC TIT AUTOMOTRIZ  GMAC II</v>
      </c>
      <c r="B175" s="208">
        <f t="shared" si="15"/>
        <v>73547.1</v>
      </c>
      <c r="C175" s="218">
        <f t="shared" si="16"/>
        <v>8.4649</v>
      </c>
      <c r="D175" s="219">
        <f aca="true" t="shared" si="27" ref="D175:D196">+C69/E69</f>
        <v>54.99999999999999</v>
      </c>
      <c r="E175" s="212">
        <f aca="true" t="shared" si="28" ref="E175:E196">+D69/E69</f>
        <v>100.1135</v>
      </c>
      <c r="F175" s="212">
        <f t="shared" si="17"/>
        <v>0.15277777777777776</v>
      </c>
      <c r="O175" s="199">
        <v>40988</v>
      </c>
      <c r="P175" s="200" t="s">
        <v>121</v>
      </c>
      <c r="Q175" s="200">
        <v>100</v>
      </c>
      <c r="R175" s="201">
        <v>0</v>
      </c>
      <c r="S175" s="200">
        <v>6.9118</v>
      </c>
      <c r="T175" s="200">
        <v>26000</v>
      </c>
      <c r="U175" s="202">
        <v>26000</v>
      </c>
      <c r="V175" s="203">
        <f t="shared" si="22"/>
        <v>6.73954803435457</v>
      </c>
      <c r="W175" s="204">
        <f t="shared" si="23"/>
        <v>175228.2488932188</v>
      </c>
      <c r="X175" s="209"/>
      <c r="AA175" t="s">
        <v>23</v>
      </c>
      <c r="AB175" s="205">
        <v>0</v>
      </c>
      <c r="AC175" s="205">
        <v>899</v>
      </c>
      <c r="AD175" s="205">
        <v>99.9998</v>
      </c>
      <c r="AE175" s="205">
        <v>833.33</v>
      </c>
      <c r="AF175" s="205">
        <v>833.33</v>
      </c>
      <c r="AG175" s="206">
        <v>7.7136</v>
      </c>
      <c r="AH175" s="203">
        <f t="shared" si="24"/>
        <v>7.500012694114311</v>
      </c>
      <c r="AI175" s="204">
        <f t="shared" si="25"/>
        <v>6249.985578386279</v>
      </c>
    </row>
    <row r="176" spans="1:35" ht="12.75">
      <c r="A176" t="str">
        <f t="shared" si="26"/>
        <v>FID MERC TIT DE FLUJOS EDESA</v>
      </c>
      <c r="B176" s="208">
        <f aca="true" t="shared" si="29" ref="B176:B196">+E70</f>
        <v>14741462</v>
      </c>
      <c r="C176" s="218">
        <f aca="true" t="shared" si="30" ref="C176:C196">+B70/E70</f>
        <v>8.763519717357477</v>
      </c>
      <c r="D176" s="219">
        <f t="shared" si="27"/>
        <v>2440.2266186026873</v>
      </c>
      <c r="E176" s="212">
        <f t="shared" si="28"/>
        <v>98.30287958768079</v>
      </c>
      <c r="F176" s="212">
        <f aca="true" t="shared" si="31" ref="F176:F198">+D176/360</f>
        <v>6.778407273896353</v>
      </c>
      <c r="O176" s="199">
        <v>40981</v>
      </c>
      <c r="P176" s="200" t="s">
        <v>121</v>
      </c>
      <c r="Q176" s="200">
        <v>100</v>
      </c>
      <c r="R176" s="201">
        <v>0</v>
      </c>
      <c r="S176" s="200">
        <v>6.9109</v>
      </c>
      <c r="T176" s="200">
        <v>34000</v>
      </c>
      <c r="U176" s="202">
        <v>34000</v>
      </c>
      <c r="V176" s="203">
        <f t="shared" si="22"/>
        <v>6.738692032611038</v>
      </c>
      <c r="W176" s="204">
        <f t="shared" si="23"/>
        <v>229115.52910877528</v>
      </c>
      <c r="X176" s="209"/>
      <c r="AA176" t="s">
        <v>23</v>
      </c>
      <c r="AB176" s="205">
        <v>0</v>
      </c>
      <c r="AC176" s="205">
        <v>791</v>
      </c>
      <c r="AD176" s="205">
        <v>100</v>
      </c>
      <c r="AE176" s="205">
        <v>100000</v>
      </c>
      <c r="AF176" s="205">
        <v>100000</v>
      </c>
      <c r="AG176" s="206">
        <v>6.9096</v>
      </c>
      <c r="AH176" s="203">
        <f t="shared" si="24"/>
        <v>6.737455576106743</v>
      </c>
      <c r="AI176" s="204">
        <f t="shared" si="25"/>
        <v>673745.5576106743</v>
      </c>
    </row>
    <row r="177" spans="1:35" ht="12.75">
      <c r="A177" t="str">
        <f t="shared" si="26"/>
        <v>FID MERC TIT FLUJOS DINERS</v>
      </c>
      <c r="B177" s="208">
        <f t="shared" si="29"/>
        <v>45233.1</v>
      </c>
      <c r="C177" s="218">
        <f t="shared" si="30"/>
        <v>6.800000000000001</v>
      </c>
      <c r="D177" s="219">
        <f t="shared" si="27"/>
        <v>1001.0000000000001</v>
      </c>
      <c r="E177" s="212">
        <f t="shared" si="28"/>
        <v>100.518</v>
      </c>
      <c r="F177" s="212">
        <f t="shared" si="31"/>
        <v>2.780555555555556</v>
      </c>
      <c r="O177" s="199">
        <v>40981</v>
      </c>
      <c r="P177" s="200" t="s">
        <v>121</v>
      </c>
      <c r="Q177" s="200">
        <v>100</v>
      </c>
      <c r="R177" s="201">
        <v>0</v>
      </c>
      <c r="S177" s="200">
        <v>6.9109</v>
      </c>
      <c r="T177" s="200">
        <v>20000</v>
      </c>
      <c r="U177" s="202">
        <v>20000</v>
      </c>
      <c r="V177" s="203">
        <f t="shared" si="22"/>
        <v>6.738692032611038</v>
      </c>
      <c r="W177" s="204">
        <f t="shared" si="23"/>
        <v>134773.84065222077</v>
      </c>
      <c r="X177" s="209"/>
      <c r="AA177" t="s">
        <v>23</v>
      </c>
      <c r="AB177" s="205">
        <v>7.45</v>
      </c>
      <c r="AC177" s="205">
        <v>1115</v>
      </c>
      <c r="AD177" s="205">
        <v>99.6408</v>
      </c>
      <c r="AE177" s="205">
        <v>1992816</v>
      </c>
      <c r="AF177" s="205">
        <v>2000000</v>
      </c>
      <c r="AG177" s="206">
        <v>7.6607</v>
      </c>
      <c r="AH177" s="203">
        <f t="shared" si="24"/>
        <v>7.44997091226578</v>
      </c>
      <c r="AI177" s="204">
        <f t="shared" si="25"/>
        <v>14846421.233497841</v>
      </c>
    </row>
    <row r="178" spans="1:37" ht="12.75">
      <c r="A178" t="str">
        <f t="shared" si="26"/>
        <v>FID MERC TIT LA FABRIL</v>
      </c>
      <c r="B178" s="208">
        <f t="shared" si="29"/>
        <v>406782.74</v>
      </c>
      <c r="C178" s="218">
        <f t="shared" si="30"/>
        <v>4.744045425904747</v>
      </c>
      <c r="D178" s="219">
        <f t="shared" si="27"/>
        <v>236.68394123605148</v>
      </c>
      <c r="E178" s="212">
        <f t="shared" si="28"/>
        <v>101.1543844032404</v>
      </c>
      <c r="F178" s="212">
        <f t="shared" si="31"/>
        <v>0.6574553923223653</v>
      </c>
      <c r="O178" s="199">
        <v>40997</v>
      </c>
      <c r="P178" s="200" t="s">
        <v>121</v>
      </c>
      <c r="Q178" s="200">
        <v>100</v>
      </c>
      <c r="R178" s="201">
        <v>0</v>
      </c>
      <c r="S178" s="200">
        <v>6.6582</v>
      </c>
      <c r="T178" s="200">
        <v>1000000</v>
      </c>
      <c r="U178" s="202">
        <v>1000000</v>
      </c>
      <c r="V178" s="203">
        <f t="shared" si="22"/>
        <v>6.498131676196106</v>
      </c>
      <c r="W178" s="204">
        <f t="shared" si="23"/>
        <v>6498131.676196106</v>
      </c>
      <c r="X178" s="209"/>
      <c r="AA178" t="s">
        <v>23</v>
      </c>
      <c r="AB178" s="205">
        <v>7.148</v>
      </c>
      <c r="AC178" s="205">
        <v>547</v>
      </c>
      <c r="AD178" s="205">
        <v>100</v>
      </c>
      <c r="AE178" s="205">
        <v>1000000</v>
      </c>
      <c r="AF178" s="205">
        <v>1000000</v>
      </c>
      <c r="AG178" s="206">
        <v>7.3419</v>
      </c>
      <c r="AH178" s="203">
        <f t="shared" si="24"/>
        <v>7.1480047812998215</v>
      </c>
      <c r="AI178" s="204">
        <f t="shared" si="25"/>
        <v>7148004.781299821</v>
      </c>
      <c r="AJ178" s="218">
        <f>+SUM(AI136:AI178)/SUM(AF136:AF178)</f>
        <v>8.043685857694149</v>
      </c>
      <c r="AK178" s="218">
        <f>+SUM(AI136:AI178)</f>
        <v>314203408.70215946</v>
      </c>
    </row>
    <row r="179" spans="1:35" ht="12.75">
      <c r="A179" t="str">
        <f t="shared" si="26"/>
        <v>FID MERC VI TIT CA AU AMAZONAS</v>
      </c>
      <c r="B179" s="208">
        <f t="shared" si="29"/>
        <v>709244.15</v>
      </c>
      <c r="C179" s="218">
        <f t="shared" si="30"/>
        <v>8.278146917806795</v>
      </c>
      <c r="D179" s="219">
        <f t="shared" si="27"/>
        <v>516.2678156034137</v>
      </c>
      <c r="E179" s="212">
        <f t="shared" si="28"/>
        <v>99.64566485001392</v>
      </c>
      <c r="F179" s="212">
        <f t="shared" si="31"/>
        <v>1.4340772655650382</v>
      </c>
      <c r="O179" s="199">
        <v>40994</v>
      </c>
      <c r="P179" s="200" t="s">
        <v>121</v>
      </c>
      <c r="Q179" s="200">
        <v>100</v>
      </c>
      <c r="R179" s="201">
        <v>0</v>
      </c>
      <c r="S179" s="200">
        <v>6.9126</v>
      </c>
      <c r="T179" s="200">
        <v>30000</v>
      </c>
      <c r="U179" s="202">
        <v>30000</v>
      </c>
      <c r="V179" s="203">
        <f t="shared" si="22"/>
        <v>6.740308920256322</v>
      </c>
      <c r="W179" s="204">
        <f t="shared" si="23"/>
        <v>202209.26760768966</v>
      </c>
      <c r="X179" s="209"/>
      <c r="AA179" t="s">
        <v>136</v>
      </c>
      <c r="AB179" s="205">
        <v>6.5</v>
      </c>
      <c r="AC179" s="205">
        <v>1320</v>
      </c>
      <c r="AD179" s="205">
        <v>99.9971</v>
      </c>
      <c r="AE179" s="205">
        <v>187494.55</v>
      </c>
      <c r="AF179" s="205">
        <v>187500</v>
      </c>
      <c r="AG179" s="206">
        <v>6.6602</v>
      </c>
      <c r="AH179" s="203">
        <f t="shared" si="24"/>
        <v>6.500037274046466</v>
      </c>
      <c r="AI179" s="204">
        <f t="shared" si="25"/>
        <v>1218721.5636805687</v>
      </c>
    </row>
    <row r="180" spans="1:35" ht="12.75">
      <c r="A180" t="str">
        <f t="shared" si="26"/>
        <v>FID SEGUNDA TIT FLUJOS PRONACA</v>
      </c>
      <c r="B180" s="208">
        <f t="shared" si="29"/>
        <v>12549149.58</v>
      </c>
      <c r="C180" s="218">
        <f t="shared" si="30"/>
        <v>6.61153288507252</v>
      </c>
      <c r="D180" s="219">
        <f t="shared" si="27"/>
        <v>1071.8860245213525</v>
      </c>
      <c r="E180" s="212">
        <f t="shared" si="28"/>
        <v>99.82901428098812</v>
      </c>
      <c r="F180" s="212">
        <f t="shared" si="31"/>
        <v>2.9774611792259793</v>
      </c>
      <c r="O180" s="199">
        <v>40994</v>
      </c>
      <c r="P180" s="200" t="s">
        <v>121</v>
      </c>
      <c r="Q180" s="200">
        <v>100</v>
      </c>
      <c r="R180" s="201">
        <v>0</v>
      </c>
      <c r="S180" s="200">
        <v>6.9126</v>
      </c>
      <c r="T180" s="200">
        <v>2000</v>
      </c>
      <c r="U180" s="202">
        <v>2000</v>
      </c>
      <c r="V180" s="203">
        <f t="shared" si="22"/>
        <v>6.740308920256322</v>
      </c>
      <c r="W180" s="204">
        <f t="shared" si="23"/>
        <v>13480.617840512643</v>
      </c>
      <c r="AA180" t="s">
        <v>136</v>
      </c>
      <c r="AB180" s="205">
        <v>6.5</v>
      </c>
      <c r="AC180" s="205">
        <v>1320</v>
      </c>
      <c r="AD180" s="205">
        <v>99.9971</v>
      </c>
      <c r="AE180" s="205">
        <v>12499.32</v>
      </c>
      <c r="AF180" s="205">
        <v>12499.69</v>
      </c>
      <c r="AG180" s="206">
        <v>6.6602</v>
      </c>
      <c r="AH180" s="203">
        <f t="shared" si="24"/>
        <v>6.500037274046466</v>
      </c>
      <c r="AI180" s="204">
        <f t="shared" si="25"/>
        <v>81246.04590023447</v>
      </c>
    </row>
    <row r="181" spans="1:35" ht="12.75">
      <c r="A181" t="str">
        <f t="shared" si="26"/>
        <v>FID TIT CUOTAFACIL UNIBANCO - CERO DOS</v>
      </c>
      <c r="B181" s="208">
        <f t="shared" si="29"/>
        <v>222651.94</v>
      </c>
      <c r="C181" s="218">
        <f t="shared" si="30"/>
        <v>6.83414929229002</v>
      </c>
      <c r="D181" s="219">
        <f t="shared" si="27"/>
        <v>582.1676064443902</v>
      </c>
      <c r="E181" s="212">
        <f t="shared" si="28"/>
        <v>100.06828995780589</v>
      </c>
      <c r="F181" s="212">
        <f t="shared" si="31"/>
        <v>1.6171322401233061</v>
      </c>
      <c r="O181" s="199">
        <v>40912</v>
      </c>
      <c r="P181" s="200" t="s">
        <v>121</v>
      </c>
      <c r="Q181" s="200">
        <v>99.6408</v>
      </c>
      <c r="R181" s="201">
        <v>7.45</v>
      </c>
      <c r="S181" s="200">
        <v>7.6607</v>
      </c>
      <c r="T181" s="200">
        <v>1992816</v>
      </c>
      <c r="U181" s="202">
        <v>1992816</v>
      </c>
      <c r="V181" s="203">
        <f aca="true" t="shared" si="32" ref="V181:V206">+((1+S181/100)^(90/360)-1)*(400)</f>
        <v>7.44997091226578</v>
      </c>
      <c r="W181" s="204">
        <f aca="true" t="shared" si="33" ref="W181:W206">+V181*T181</f>
        <v>14846421.233497841</v>
      </c>
      <c r="X181" s="209"/>
      <c r="AA181" t="s">
        <v>136</v>
      </c>
      <c r="AB181" s="205">
        <v>6.5</v>
      </c>
      <c r="AC181" s="205">
        <v>1297</v>
      </c>
      <c r="AD181" s="205">
        <v>99.9968</v>
      </c>
      <c r="AE181" s="205">
        <v>149995.24</v>
      </c>
      <c r="AF181" s="205">
        <v>150000</v>
      </c>
      <c r="AG181" s="206">
        <v>6.6602</v>
      </c>
      <c r="AH181" s="203">
        <f aca="true" t="shared" si="34" ref="AH181:AH206">+((1+AG181/100)^(90/360)-1)*(400)</f>
        <v>6.500037274046466</v>
      </c>
      <c r="AI181" s="204">
        <f aca="true" t="shared" si="35" ref="AI181:AI206">+AH181*AE181</f>
        <v>974974.6509295454</v>
      </c>
    </row>
    <row r="182" spans="1:35" ht="12.75">
      <c r="A182" t="str">
        <f t="shared" si="26"/>
        <v>FID TIT CUOTAFACIL UNIBANCO - CERO UNO</v>
      </c>
      <c r="B182" s="208">
        <f t="shared" si="29"/>
        <v>841413.54</v>
      </c>
      <c r="C182" s="218">
        <f t="shared" si="30"/>
        <v>4.44168746084357</v>
      </c>
      <c r="D182" s="219">
        <f t="shared" si="27"/>
        <v>256.4353118562841</v>
      </c>
      <c r="E182" s="212">
        <f t="shared" si="28"/>
        <v>101.66939208855885</v>
      </c>
      <c r="F182" s="212">
        <f t="shared" si="31"/>
        <v>0.7123203107119003</v>
      </c>
      <c r="O182" s="199">
        <v>40942</v>
      </c>
      <c r="P182" s="200" t="s">
        <v>121</v>
      </c>
      <c r="Q182" s="200">
        <v>99.9811</v>
      </c>
      <c r="R182" s="201">
        <v>0</v>
      </c>
      <c r="S182" s="200">
        <v>6.9228</v>
      </c>
      <c r="T182" s="200">
        <v>149971.65</v>
      </c>
      <c r="U182" s="202">
        <v>149971.65</v>
      </c>
      <c r="V182" s="203">
        <f t="shared" si="32"/>
        <v>6.750009841218496</v>
      </c>
      <c r="W182" s="204">
        <f t="shared" si="33"/>
        <v>1012310.1134037758</v>
      </c>
      <c r="X182" s="204">
        <f>+SUM(W172:W182)/SUM(T172:T182)</f>
        <v>7.086838928169864</v>
      </c>
      <c r="Y182" s="204">
        <f>+SUM(W172:W182)</f>
        <v>23994531.72053676</v>
      </c>
      <c r="AA182" t="s">
        <v>136</v>
      </c>
      <c r="AB182" s="205">
        <v>6.5</v>
      </c>
      <c r="AC182" s="205">
        <v>1280</v>
      </c>
      <c r="AD182" s="205">
        <v>99.9977</v>
      </c>
      <c r="AE182" s="205">
        <v>749983</v>
      </c>
      <c r="AF182" s="205">
        <v>750000</v>
      </c>
      <c r="AG182" s="206">
        <v>6.6602</v>
      </c>
      <c r="AH182" s="203">
        <f t="shared" si="34"/>
        <v>6.500037274046466</v>
      </c>
      <c r="AI182" s="204">
        <f t="shared" si="35"/>
        <v>4874917.4549011905</v>
      </c>
    </row>
    <row r="183" spans="1:35" ht="12.75">
      <c r="A183" t="str">
        <f t="shared" si="26"/>
        <v>FID TIT DE FLUJOS JAHER</v>
      </c>
      <c r="B183" s="208">
        <f t="shared" si="29"/>
        <v>14046299.450000003</v>
      </c>
      <c r="C183" s="218">
        <f t="shared" si="30"/>
        <v>8.768628788038544</v>
      </c>
      <c r="D183" s="219">
        <f t="shared" si="27"/>
        <v>1798.992015735504</v>
      </c>
      <c r="E183" s="212">
        <f t="shared" si="28"/>
        <v>100.00958405838708</v>
      </c>
      <c r="F183" s="212">
        <f t="shared" si="31"/>
        <v>4.997200043709734</v>
      </c>
      <c r="O183" s="199">
        <v>40991</v>
      </c>
      <c r="P183" s="200" t="s">
        <v>137</v>
      </c>
      <c r="Q183" s="200">
        <v>100</v>
      </c>
      <c r="R183" s="201">
        <v>0</v>
      </c>
      <c r="S183" s="200">
        <v>6.0198</v>
      </c>
      <c r="T183" s="200">
        <v>2440201.66</v>
      </c>
      <c r="U183" s="202">
        <v>2440201.66</v>
      </c>
      <c r="V183" s="203">
        <f t="shared" si="32"/>
        <v>5.888490481635245</v>
      </c>
      <c r="W183" s="204">
        <f t="shared" si="33"/>
        <v>14369104.248180524</v>
      </c>
      <c r="X183" s="204">
        <f>+SUM(W183)/SUM(T183)</f>
        <v>5.888490481635245</v>
      </c>
      <c r="Y183" s="204">
        <f>+SUM(W183)</f>
        <v>14369104.248180524</v>
      </c>
      <c r="AA183" t="s">
        <v>136</v>
      </c>
      <c r="AB183" s="205">
        <v>6.5</v>
      </c>
      <c r="AC183" s="205">
        <v>1311</v>
      </c>
      <c r="AD183" s="205">
        <v>99.9968</v>
      </c>
      <c r="AE183" s="205">
        <v>168744.57</v>
      </c>
      <c r="AF183" s="205">
        <v>168750</v>
      </c>
      <c r="AG183" s="206">
        <v>6.6602</v>
      </c>
      <c r="AH183" s="203">
        <f t="shared" si="34"/>
        <v>6.500037274046466</v>
      </c>
      <c r="AI183" s="204">
        <f t="shared" si="35"/>
        <v>1096845.9947929431</v>
      </c>
    </row>
    <row r="184" spans="1:35" ht="12.75">
      <c r="A184" t="str">
        <f t="shared" si="26"/>
        <v>FID TIT GRUPO ANHALZER - CERO UNO</v>
      </c>
      <c r="B184" s="208">
        <f t="shared" si="29"/>
        <v>1901363.05</v>
      </c>
      <c r="C184" s="218">
        <f t="shared" si="30"/>
        <v>6.305434629148809</v>
      </c>
      <c r="D184" s="219">
        <f t="shared" si="27"/>
        <v>980.4103944483404</v>
      </c>
      <c r="E184" s="212">
        <f t="shared" si="28"/>
        <v>101.79712455458908</v>
      </c>
      <c r="F184" s="212">
        <f t="shared" si="31"/>
        <v>2.7233622068009455</v>
      </c>
      <c r="O184" s="199">
        <v>40995</v>
      </c>
      <c r="P184" s="200" t="s">
        <v>157</v>
      </c>
      <c r="Q184" s="200">
        <v>100</v>
      </c>
      <c r="R184" s="201">
        <v>0</v>
      </c>
      <c r="S184" s="200">
        <v>5.999</v>
      </c>
      <c r="T184" s="200">
        <v>15800000</v>
      </c>
      <c r="U184" s="202">
        <v>15800000</v>
      </c>
      <c r="V184" s="203">
        <f t="shared" si="32"/>
        <v>5.868581224599723</v>
      </c>
      <c r="W184" s="204">
        <f t="shared" si="33"/>
        <v>92723583.34867562</v>
      </c>
      <c r="X184" s="209"/>
      <c r="AA184" t="s">
        <v>136</v>
      </c>
      <c r="AB184" s="205">
        <v>6.5</v>
      </c>
      <c r="AC184" s="205">
        <v>1302</v>
      </c>
      <c r="AD184" s="205">
        <v>99.9967</v>
      </c>
      <c r="AE184" s="205">
        <v>5146707.2</v>
      </c>
      <c r="AF184" s="205">
        <v>5146875</v>
      </c>
      <c r="AG184" s="206">
        <v>6.6602</v>
      </c>
      <c r="AH184" s="203">
        <f t="shared" si="34"/>
        <v>6.500037274046466</v>
      </c>
      <c r="AI184" s="204">
        <f t="shared" si="35"/>
        <v>33453788.638603322</v>
      </c>
    </row>
    <row r="185" spans="1:35" ht="12.75">
      <c r="A185" t="str">
        <f t="shared" si="26"/>
        <v>FID TIT HOTEL COLON GUAYAQUIL-CERO UNO</v>
      </c>
      <c r="B185" s="208">
        <f t="shared" si="29"/>
        <v>719057.19</v>
      </c>
      <c r="C185" s="218">
        <f t="shared" si="30"/>
        <v>5.398306412904377</v>
      </c>
      <c r="D185" s="219">
        <f t="shared" si="27"/>
        <v>329.5127652920069</v>
      </c>
      <c r="E185" s="212">
        <f t="shared" si="28"/>
        <v>101.03860998644213</v>
      </c>
      <c r="F185" s="212">
        <f t="shared" si="31"/>
        <v>0.9153132369222414</v>
      </c>
      <c r="O185" s="199">
        <v>40995</v>
      </c>
      <c r="P185" s="200" t="s">
        <v>157</v>
      </c>
      <c r="Q185" s="200">
        <v>100</v>
      </c>
      <c r="R185" s="201">
        <v>0</v>
      </c>
      <c r="S185" s="200">
        <v>6.8566</v>
      </c>
      <c r="T185" s="200">
        <v>8100000</v>
      </c>
      <c r="U185" s="202">
        <v>8100000</v>
      </c>
      <c r="V185" s="203">
        <f t="shared" si="32"/>
        <v>6.6870365915887575</v>
      </c>
      <c r="W185" s="204">
        <f t="shared" si="33"/>
        <v>54164996.391868934</v>
      </c>
      <c r="X185" s="209"/>
      <c r="AA185" t="s">
        <v>136</v>
      </c>
      <c r="AB185" s="205">
        <v>6.5</v>
      </c>
      <c r="AC185" s="205">
        <v>1277</v>
      </c>
      <c r="AD185" s="205">
        <v>99.998</v>
      </c>
      <c r="AE185" s="205">
        <v>129996.76</v>
      </c>
      <c r="AF185" s="205">
        <v>129999.38</v>
      </c>
      <c r="AG185" s="206">
        <v>6.6602</v>
      </c>
      <c r="AH185" s="203">
        <f t="shared" si="34"/>
        <v>6.500037274046466</v>
      </c>
      <c r="AI185" s="204">
        <f t="shared" si="35"/>
        <v>844983.7855052727</v>
      </c>
    </row>
    <row r="186" spans="1:35" ht="12.75">
      <c r="A186" t="str">
        <f t="shared" si="26"/>
        <v>FID. MERC. II TIT ARTEFACTA</v>
      </c>
      <c r="B186" s="208">
        <f t="shared" si="29"/>
        <v>1762346.82</v>
      </c>
      <c r="C186" s="218">
        <f t="shared" si="30"/>
        <v>5.11130649527316</v>
      </c>
      <c r="D186" s="219">
        <f t="shared" si="27"/>
        <v>950.2480408197972</v>
      </c>
      <c r="E186" s="212">
        <f t="shared" si="28"/>
        <v>102.83801948578827</v>
      </c>
      <c r="F186" s="212">
        <f t="shared" si="31"/>
        <v>2.639577891166103</v>
      </c>
      <c r="O186" s="199">
        <v>40995</v>
      </c>
      <c r="P186" s="200" t="s">
        <v>157</v>
      </c>
      <c r="Q186" s="200">
        <v>100</v>
      </c>
      <c r="R186" s="201">
        <v>0</v>
      </c>
      <c r="S186" s="200">
        <v>7.6028</v>
      </c>
      <c r="T186" s="200">
        <v>2400000</v>
      </c>
      <c r="U186" s="202">
        <v>2400000</v>
      </c>
      <c r="V186" s="203">
        <f t="shared" si="32"/>
        <v>7.395178140619851</v>
      </c>
      <c r="W186" s="204">
        <f t="shared" si="33"/>
        <v>17748427.537487645</v>
      </c>
      <c r="X186" s="209"/>
      <c r="AA186" t="s">
        <v>136</v>
      </c>
      <c r="AB186" s="205">
        <v>6.5</v>
      </c>
      <c r="AC186" s="205">
        <v>1256</v>
      </c>
      <c r="AD186" s="205">
        <v>99.9994</v>
      </c>
      <c r="AE186" s="205">
        <v>549999.2</v>
      </c>
      <c r="AF186" s="205">
        <v>550002.25</v>
      </c>
      <c r="AG186" s="206">
        <v>6.6602</v>
      </c>
      <c r="AH186" s="203">
        <f t="shared" si="34"/>
        <v>6.500037274046466</v>
      </c>
      <c r="AI186" s="204">
        <f t="shared" si="35"/>
        <v>3575015.300695737</v>
      </c>
    </row>
    <row r="187" spans="1:35" ht="12.75">
      <c r="A187" t="str">
        <f t="shared" si="26"/>
        <v>FIDEI MERC MUNICIPALIDAD GUAYAQUIL</v>
      </c>
      <c r="B187" s="208">
        <f t="shared" si="29"/>
        <v>510285.5</v>
      </c>
      <c r="C187" s="218">
        <f t="shared" si="30"/>
        <v>6.1397</v>
      </c>
      <c r="D187" s="219">
        <f t="shared" si="27"/>
        <v>693</v>
      </c>
      <c r="E187" s="212">
        <f t="shared" si="28"/>
        <v>102.0571</v>
      </c>
      <c r="F187" s="212">
        <f t="shared" si="31"/>
        <v>1.925</v>
      </c>
      <c r="O187" s="199">
        <v>40995</v>
      </c>
      <c r="P187" s="200" t="s">
        <v>157</v>
      </c>
      <c r="Q187" s="200">
        <v>100</v>
      </c>
      <c r="R187" s="201">
        <v>0</v>
      </c>
      <c r="S187" s="200">
        <v>80.7385</v>
      </c>
      <c r="T187" s="200">
        <v>1000000</v>
      </c>
      <c r="U187" s="202">
        <v>1000000</v>
      </c>
      <c r="V187" s="203">
        <f t="shared" si="32"/>
        <v>63.79136625588586</v>
      </c>
      <c r="W187" s="204">
        <f t="shared" si="33"/>
        <v>63791366.25588586</v>
      </c>
      <c r="X187" s="209"/>
      <c r="AA187" t="s">
        <v>136</v>
      </c>
      <c r="AB187" s="205">
        <v>6.5</v>
      </c>
      <c r="AC187" s="205">
        <v>1253</v>
      </c>
      <c r="AD187" s="205">
        <v>99.9991</v>
      </c>
      <c r="AE187" s="205">
        <v>297497.21</v>
      </c>
      <c r="AF187" s="205">
        <v>297500</v>
      </c>
      <c r="AG187" s="206">
        <v>6.6602</v>
      </c>
      <c r="AH187" s="203">
        <f t="shared" si="34"/>
        <v>6.500037274046466</v>
      </c>
      <c r="AI187" s="204">
        <f t="shared" si="35"/>
        <v>1933742.9539248291</v>
      </c>
    </row>
    <row r="188" spans="1:35" ht="12.75">
      <c r="A188" t="str">
        <f t="shared" si="26"/>
        <v>FIDEI MERCAN  FLUJOS NESTLE ECUADOR</v>
      </c>
      <c r="B188" s="208">
        <f t="shared" si="29"/>
        <v>1817081.37</v>
      </c>
      <c r="C188" s="218">
        <f t="shared" si="30"/>
        <v>5.2324306545083346</v>
      </c>
      <c r="D188" s="219">
        <f t="shared" si="27"/>
        <v>406.80612986527956</v>
      </c>
      <c r="E188" s="212">
        <f t="shared" si="28"/>
        <v>101.93623033852411</v>
      </c>
      <c r="F188" s="212">
        <f t="shared" si="31"/>
        <v>1.1300170274035544</v>
      </c>
      <c r="O188" s="199">
        <v>40995</v>
      </c>
      <c r="P188" s="200" t="s">
        <v>157</v>
      </c>
      <c r="Q188" s="200">
        <v>100</v>
      </c>
      <c r="R188" s="201">
        <v>0</v>
      </c>
      <c r="S188" s="200">
        <v>7.6028</v>
      </c>
      <c r="T188" s="200">
        <v>2699000</v>
      </c>
      <c r="U188" s="202">
        <v>2699000</v>
      </c>
      <c r="V188" s="203">
        <f t="shared" si="32"/>
        <v>7.395178140619851</v>
      </c>
      <c r="W188" s="204">
        <f t="shared" si="33"/>
        <v>19959585.80153298</v>
      </c>
      <c r="X188" s="209"/>
      <c r="AA188" t="s">
        <v>24</v>
      </c>
      <c r="AB188" s="205">
        <v>8.0634</v>
      </c>
      <c r="AC188" s="205">
        <v>1702</v>
      </c>
      <c r="AD188" s="205">
        <v>99.8415</v>
      </c>
      <c r="AE188" s="205">
        <v>99841.5</v>
      </c>
      <c r="AF188" s="205">
        <v>100000</v>
      </c>
      <c r="AG188" s="206">
        <v>8.3105</v>
      </c>
      <c r="AH188" s="203">
        <f t="shared" si="34"/>
        <v>8.063388442020969</v>
      </c>
      <c r="AI188" s="204">
        <f t="shared" si="35"/>
        <v>805060.7971340365</v>
      </c>
    </row>
    <row r="189" spans="1:35" ht="12.75">
      <c r="A189" t="str">
        <f t="shared" si="26"/>
        <v>FIDEICM MERC IRREV I TIT FLUJOS FADESA</v>
      </c>
      <c r="B189" s="208">
        <f t="shared" si="29"/>
        <v>975136.09</v>
      </c>
      <c r="C189" s="218">
        <f t="shared" si="30"/>
        <v>4.434932392769916</v>
      </c>
      <c r="D189" s="219">
        <f t="shared" si="27"/>
        <v>518.326964321462</v>
      </c>
      <c r="E189" s="212">
        <f t="shared" si="28"/>
        <v>103.68120438486487</v>
      </c>
      <c r="F189" s="212">
        <f t="shared" si="31"/>
        <v>1.4397971231151723</v>
      </c>
      <c r="O189" s="199">
        <v>40995</v>
      </c>
      <c r="P189" s="200" t="s">
        <v>157</v>
      </c>
      <c r="Q189" s="200">
        <v>100</v>
      </c>
      <c r="R189" s="201">
        <v>0</v>
      </c>
      <c r="S189" s="200">
        <v>0</v>
      </c>
      <c r="T189" s="200">
        <v>1000</v>
      </c>
      <c r="U189" s="202">
        <v>1000</v>
      </c>
      <c r="V189" s="203">
        <f t="shared" si="32"/>
        <v>0</v>
      </c>
      <c r="W189" s="204">
        <f t="shared" si="33"/>
        <v>0</v>
      </c>
      <c r="AA189" t="s">
        <v>24</v>
      </c>
      <c r="AB189" s="205">
        <v>0</v>
      </c>
      <c r="AC189" s="205">
        <v>727</v>
      </c>
      <c r="AD189" s="205">
        <v>100</v>
      </c>
      <c r="AE189" s="205">
        <v>20307.69</v>
      </c>
      <c r="AF189" s="205">
        <v>20307.69</v>
      </c>
      <c r="AG189" s="206">
        <v>8.0309</v>
      </c>
      <c r="AH189" s="203">
        <f t="shared" si="34"/>
        <v>7.799782560666646</v>
      </c>
      <c r="AI189" s="204">
        <f t="shared" si="35"/>
        <v>158395.56630942444</v>
      </c>
    </row>
    <row r="190" spans="1:35" ht="12.75">
      <c r="A190" t="str">
        <f t="shared" si="26"/>
        <v>FIDEICOMISO MER TIT COMANDATO 7</v>
      </c>
      <c r="B190" s="208">
        <f t="shared" si="29"/>
        <v>702895.07</v>
      </c>
      <c r="C190" s="218">
        <f t="shared" si="30"/>
        <v>6.460233199781866</v>
      </c>
      <c r="D190" s="219">
        <f t="shared" si="27"/>
        <v>708.3818772409373</v>
      </c>
      <c r="E190" s="212">
        <f t="shared" si="28"/>
        <v>101.8921782555624</v>
      </c>
      <c r="F190" s="212">
        <f t="shared" si="31"/>
        <v>1.9677274367803814</v>
      </c>
      <c r="O190" s="199">
        <v>40998</v>
      </c>
      <c r="P190" s="200" t="s">
        <v>157</v>
      </c>
      <c r="Q190" s="200">
        <v>190</v>
      </c>
      <c r="R190" s="201">
        <v>0</v>
      </c>
      <c r="S190" s="200">
        <v>6.3637</v>
      </c>
      <c r="T190" s="200">
        <v>1900000</v>
      </c>
      <c r="U190" s="202">
        <v>1900000</v>
      </c>
      <c r="V190" s="203">
        <f t="shared" si="32"/>
        <v>6.217239406741726</v>
      </c>
      <c r="W190" s="204">
        <f t="shared" si="33"/>
        <v>11812754.87280928</v>
      </c>
      <c r="AA190" t="s">
        <v>24</v>
      </c>
      <c r="AB190" s="205">
        <v>0</v>
      </c>
      <c r="AC190" s="205">
        <v>771</v>
      </c>
      <c r="AD190" s="205">
        <v>100</v>
      </c>
      <c r="AE190" s="205">
        <v>40000</v>
      </c>
      <c r="AF190" s="205">
        <v>40000</v>
      </c>
      <c r="AG190" s="206">
        <v>8.0308</v>
      </c>
      <c r="AH190" s="203">
        <f t="shared" si="34"/>
        <v>7.799688189536713</v>
      </c>
      <c r="AI190" s="204">
        <f t="shared" si="35"/>
        <v>311987.5275814685</v>
      </c>
    </row>
    <row r="191" spans="1:35" ht="12.75">
      <c r="A191" t="str">
        <f t="shared" si="26"/>
        <v>FIDEICOMISO MERCANTIL CTH(FIMECTH IV)</v>
      </c>
      <c r="B191" s="208">
        <f t="shared" si="29"/>
        <v>89121.52</v>
      </c>
      <c r="C191" s="218">
        <f t="shared" si="30"/>
        <v>6.565079430187008</v>
      </c>
      <c r="D191" s="219">
        <f t="shared" si="27"/>
        <v>351.68439171594014</v>
      </c>
      <c r="E191" s="212">
        <f t="shared" si="28"/>
        <v>99.57631437616861</v>
      </c>
      <c r="F191" s="212">
        <f t="shared" si="31"/>
        <v>0.9769010880998337</v>
      </c>
      <c r="O191" s="199">
        <v>40998</v>
      </c>
      <c r="P191" s="200" t="s">
        <v>157</v>
      </c>
      <c r="Q191" s="200">
        <v>100</v>
      </c>
      <c r="R191" s="201">
        <v>0</v>
      </c>
      <c r="S191" s="200">
        <v>0</v>
      </c>
      <c r="T191" s="200">
        <v>1000</v>
      </c>
      <c r="U191" s="202">
        <v>1000</v>
      </c>
      <c r="V191" s="203">
        <f t="shared" si="32"/>
        <v>0</v>
      </c>
      <c r="W191" s="204">
        <f t="shared" si="33"/>
        <v>0</v>
      </c>
      <c r="X191" s="204">
        <f>+SUM(W184:W191)/SUM(T184:T191)</f>
        <v>8.156506511026624</v>
      </c>
      <c r="Y191" s="204">
        <f>+SUM(W184:W191)</f>
        <v>260200714.20826036</v>
      </c>
      <c r="AA191" t="s">
        <v>24</v>
      </c>
      <c r="AB191" s="205">
        <v>8</v>
      </c>
      <c r="AC191" s="205">
        <v>1779</v>
      </c>
      <c r="AD191" s="205">
        <v>99.9965</v>
      </c>
      <c r="AE191" s="205">
        <v>149994.7</v>
      </c>
      <c r="AF191" s="205">
        <v>150000</v>
      </c>
      <c r="AG191" s="206">
        <v>8.2432</v>
      </c>
      <c r="AH191" s="203">
        <f t="shared" si="34"/>
        <v>7.9999849228418185</v>
      </c>
      <c r="AI191" s="204">
        <f t="shared" si="35"/>
        <v>1199955.3385061817</v>
      </c>
    </row>
    <row r="192" spans="1:35" ht="12.75">
      <c r="A192" t="str">
        <f t="shared" si="26"/>
        <v>FIDEICOMISO MERCANTIL CTH(FIMECTH3)</v>
      </c>
      <c r="B192" s="208">
        <f t="shared" si="29"/>
        <v>145775.97</v>
      </c>
      <c r="C192" s="218">
        <f t="shared" si="30"/>
        <v>7.847254978320501</v>
      </c>
      <c r="D192" s="219">
        <f t="shared" si="27"/>
        <v>659.8201095146203</v>
      </c>
      <c r="E192" s="212">
        <f t="shared" si="28"/>
        <v>98.64736203032639</v>
      </c>
      <c r="F192" s="212">
        <f t="shared" si="31"/>
        <v>1.832833637540612</v>
      </c>
      <c r="O192" s="199">
        <v>40998</v>
      </c>
      <c r="P192" s="200" t="s">
        <v>158</v>
      </c>
      <c r="Q192" s="200">
        <v>100</v>
      </c>
      <c r="R192" s="201">
        <v>8.4996</v>
      </c>
      <c r="S192" s="200">
        <v>8.7744</v>
      </c>
      <c r="T192" s="200">
        <v>15000</v>
      </c>
      <c r="U192" s="202">
        <v>15000</v>
      </c>
      <c r="V192" s="203">
        <f t="shared" si="32"/>
        <v>8.49962804680544</v>
      </c>
      <c r="W192" s="204">
        <f t="shared" si="33"/>
        <v>127494.42070208161</v>
      </c>
      <c r="AA192" t="s">
        <v>24</v>
      </c>
      <c r="AB192" s="205">
        <v>8</v>
      </c>
      <c r="AC192" s="205">
        <v>1086</v>
      </c>
      <c r="AD192" s="205">
        <v>100</v>
      </c>
      <c r="AE192" s="205">
        <v>30000</v>
      </c>
      <c r="AF192" s="205">
        <v>30000</v>
      </c>
      <c r="AG192" s="206">
        <v>8.3</v>
      </c>
      <c r="AH192" s="203">
        <f t="shared" si="34"/>
        <v>8.053498308212603</v>
      </c>
      <c r="AI192" s="204">
        <f t="shared" si="35"/>
        <v>241604.9492463781</v>
      </c>
    </row>
    <row r="193" spans="1:35" ht="12.75">
      <c r="A193" t="str">
        <f t="shared" si="26"/>
        <v>FIDEICOMISO MERCANTIL CTH-BID 1</v>
      </c>
      <c r="B193" s="208">
        <f t="shared" si="29"/>
        <v>19291954.44</v>
      </c>
      <c r="C193" s="218">
        <f t="shared" si="30"/>
        <v>6.23965878082677</v>
      </c>
      <c r="D193" s="219">
        <f t="shared" si="27"/>
        <v>2291.401372214727</v>
      </c>
      <c r="E193" s="212">
        <f t="shared" si="28"/>
        <v>773.2429270136716</v>
      </c>
      <c r="F193" s="212">
        <f t="shared" si="31"/>
        <v>6.365003811707575</v>
      </c>
      <c r="O193" s="199">
        <v>40998</v>
      </c>
      <c r="P193" s="200" t="s">
        <v>158</v>
      </c>
      <c r="Q193" s="200">
        <v>100</v>
      </c>
      <c r="R193" s="201">
        <v>8.4996</v>
      </c>
      <c r="S193" s="200">
        <v>8.7744</v>
      </c>
      <c r="T193" s="200">
        <v>5000</v>
      </c>
      <c r="U193" s="202">
        <v>5000</v>
      </c>
      <c r="V193" s="203">
        <f t="shared" si="32"/>
        <v>8.49962804680544</v>
      </c>
      <c r="W193" s="204">
        <f t="shared" si="33"/>
        <v>42498.1402340272</v>
      </c>
      <c r="AA193" t="s">
        <v>24</v>
      </c>
      <c r="AB193" s="205">
        <v>8</v>
      </c>
      <c r="AC193" s="205">
        <v>1779</v>
      </c>
      <c r="AD193" s="205">
        <v>99.9965</v>
      </c>
      <c r="AE193" s="205">
        <v>26999.05</v>
      </c>
      <c r="AF193" s="205">
        <v>27000</v>
      </c>
      <c r="AG193" s="206">
        <v>8.2432</v>
      </c>
      <c r="AH193" s="203">
        <f t="shared" si="34"/>
        <v>7.9999849228418185</v>
      </c>
      <c r="AI193" s="204">
        <f t="shared" si="35"/>
        <v>215991.9929310524</v>
      </c>
    </row>
    <row r="194" spans="1:35" ht="12.75">
      <c r="A194" t="str">
        <f t="shared" si="26"/>
        <v>FIDEICOMISO MERCANTIL FMS - DOS</v>
      </c>
      <c r="B194" s="208">
        <f t="shared" si="29"/>
        <v>10994910.440000001</v>
      </c>
      <c r="C194" s="218">
        <f t="shared" si="30"/>
        <v>6.9130832959517035</v>
      </c>
      <c r="D194" s="219">
        <f t="shared" si="27"/>
        <v>795.8435578116449</v>
      </c>
      <c r="E194" s="212">
        <f t="shared" si="28"/>
        <v>99.95397236000905</v>
      </c>
      <c r="F194" s="212">
        <f t="shared" si="31"/>
        <v>2.2106765494767915</v>
      </c>
      <c r="O194" s="199">
        <v>40994</v>
      </c>
      <c r="P194" s="200" t="s">
        <v>158</v>
      </c>
      <c r="Q194" s="200">
        <v>100</v>
      </c>
      <c r="R194" s="201">
        <v>8.4999</v>
      </c>
      <c r="S194" s="200">
        <v>8.7747</v>
      </c>
      <c r="T194" s="200">
        <v>100000</v>
      </c>
      <c r="U194" s="202">
        <v>100000</v>
      </c>
      <c r="V194" s="203">
        <f t="shared" si="32"/>
        <v>8.499909707199915</v>
      </c>
      <c r="W194" s="204">
        <f t="shared" si="33"/>
        <v>849990.9707199915</v>
      </c>
      <c r="AA194" t="s">
        <v>24</v>
      </c>
      <c r="AB194" s="205">
        <v>8</v>
      </c>
      <c r="AC194" s="205">
        <v>1779</v>
      </c>
      <c r="AD194" s="205">
        <v>99.9965</v>
      </c>
      <c r="AE194" s="205">
        <v>99996.46</v>
      </c>
      <c r="AF194" s="205">
        <v>100000</v>
      </c>
      <c r="AG194" s="206">
        <v>8.2432</v>
      </c>
      <c r="AH194" s="203">
        <f t="shared" si="34"/>
        <v>7.9999849228418185</v>
      </c>
      <c r="AI194" s="204">
        <f t="shared" si="35"/>
        <v>799970.1723375551</v>
      </c>
    </row>
    <row r="195" spans="1:35" ht="12.75">
      <c r="A195" t="str">
        <f t="shared" si="26"/>
        <v>FIDEICOMISO MERCANTIL TIT.AMAZONAS</v>
      </c>
      <c r="B195" s="208">
        <f t="shared" si="29"/>
        <v>21873.14</v>
      </c>
      <c r="C195" s="218">
        <f t="shared" si="30"/>
        <v>9.290639015111685</v>
      </c>
      <c r="D195" s="219">
        <f t="shared" si="27"/>
        <v>374.1019560977528</v>
      </c>
      <c r="E195" s="212">
        <f t="shared" si="28"/>
        <v>100.38547855835971</v>
      </c>
      <c r="F195" s="212">
        <f t="shared" si="31"/>
        <v>1.0391721002715355</v>
      </c>
      <c r="O195" s="199">
        <v>40994</v>
      </c>
      <c r="P195" s="200" t="s">
        <v>158</v>
      </c>
      <c r="Q195" s="200">
        <v>100</v>
      </c>
      <c r="R195" s="201">
        <v>8.5</v>
      </c>
      <c r="S195" s="200">
        <v>8.7748</v>
      </c>
      <c r="T195" s="200">
        <v>3000000</v>
      </c>
      <c r="U195" s="202">
        <v>3000000</v>
      </c>
      <c r="V195" s="203">
        <f t="shared" si="32"/>
        <v>8.500003593868666</v>
      </c>
      <c r="W195" s="204">
        <f t="shared" si="33"/>
        <v>25500010.781605996</v>
      </c>
      <c r="AA195" t="s">
        <v>24</v>
      </c>
      <c r="AB195" s="205">
        <v>8</v>
      </c>
      <c r="AC195" s="205">
        <v>1800</v>
      </c>
      <c r="AD195" s="205">
        <v>100</v>
      </c>
      <c r="AE195" s="205">
        <v>100000</v>
      </c>
      <c r="AF195" s="205">
        <v>100000</v>
      </c>
      <c r="AG195" s="206">
        <v>8.2432</v>
      </c>
      <c r="AH195" s="203">
        <f t="shared" si="34"/>
        <v>7.9999849228418185</v>
      </c>
      <c r="AI195" s="204">
        <f t="shared" si="35"/>
        <v>799998.4922841819</v>
      </c>
    </row>
    <row r="196" spans="1:35" ht="12.75">
      <c r="A196" t="str">
        <f t="shared" si="26"/>
        <v>FIDIECOMISO CENT HIDROELC MARCEL LANIADO</v>
      </c>
      <c r="B196" s="208">
        <f t="shared" si="29"/>
        <v>1166107.51</v>
      </c>
      <c r="C196" s="218">
        <f t="shared" si="30"/>
        <v>7.231943988780245</v>
      </c>
      <c r="D196" s="219">
        <f t="shared" si="27"/>
        <v>979.6506832290273</v>
      </c>
      <c r="E196" s="212">
        <f t="shared" si="28"/>
        <v>101.36078694816152</v>
      </c>
      <c r="F196" s="212">
        <f t="shared" si="31"/>
        <v>2.721251897858409</v>
      </c>
      <c r="O196" s="199">
        <v>41016</v>
      </c>
      <c r="P196" s="200" t="s">
        <v>158</v>
      </c>
      <c r="Q196" s="200">
        <v>99.996</v>
      </c>
      <c r="R196" s="201">
        <v>8.5</v>
      </c>
      <c r="S196" s="200">
        <v>8.7748</v>
      </c>
      <c r="T196" s="200">
        <v>4199832.46</v>
      </c>
      <c r="U196" s="202">
        <v>4199832.46</v>
      </c>
      <c r="V196" s="203">
        <f t="shared" si="32"/>
        <v>8.500003593868666</v>
      </c>
      <c r="W196" s="204">
        <f t="shared" si="33"/>
        <v>35698591.00364628</v>
      </c>
      <c r="AA196" t="s">
        <v>24</v>
      </c>
      <c r="AB196" s="205">
        <v>8</v>
      </c>
      <c r="AC196" s="205">
        <v>1799</v>
      </c>
      <c r="AD196" s="205">
        <v>99.9998</v>
      </c>
      <c r="AE196" s="205">
        <v>19999.96</v>
      </c>
      <c r="AF196" s="205">
        <v>20000</v>
      </c>
      <c r="AG196" s="206">
        <v>8.2432</v>
      </c>
      <c r="AH196" s="203">
        <f t="shared" si="34"/>
        <v>7.9999849228418185</v>
      </c>
      <c r="AI196" s="204">
        <f t="shared" si="35"/>
        <v>159999.37845743945</v>
      </c>
    </row>
    <row r="197" spans="1:35" ht="12.75">
      <c r="A197" t="str">
        <f>+A106</f>
        <v>VCC I TIT FLUJOS DER COBRO INTERAGUA</v>
      </c>
      <c r="B197" s="208">
        <f>+E106</f>
        <v>705785.56</v>
      </c>
      <c r="C197" s="218">
        <f>+B106/E106</f>
        <v>7.2812940936663555</v>
      </c>
      <c r="D197" s="219">
        <f>+C106/E106</f>
        <v>1331.2772889544522</v>
      </c>
      <c r="E197" s="212">
        <f>+D106/E106</f>
        <v>102.30661047410688</v>
      </c>
      <c r="F197" s="212">
        <f t="shared" si="31"/>
        <v>3.6979924693179225</v>
      </c>
      <c r="O197" s="199">
        <v>41009</v>
      </c>
      <c r="P197" s="200" t="s">
        <v>158</v>
      </c>
      <c r="Q197" s="200">
        <v>99.9971</v>
      </c>
      <c r="R197" s="201">
        <v>8.5</v>
      </c>
      <c r="S197" s="200">
        <v>8.7748</v>
      </c>
      <c r="T197" s="200">
        <v>4679862.99</v>
      </c>
      <c r="U197" s="202">
        <v>4679862.99</v>
      </c>
      <c r="V197" s="203">
        <f t="shared" si="32"/>
        <v>8.500003593868666</v>
      </c>
      <c r="W197" s="204">
        <f t="shared" si="33"/>
        <v>39778852.233812965</v>
      </c>
      <c r="AA197" t="s">
        <v>24</v>
      </c>
      <c r="AB197" s="205">
        <v>0</v>
      </c>
      <c r="AC197" s="205">
        <v>1020</v>
      </c>
      <c r="AD197" s="205">
        <v>100</v>
      </c>
      <c r="AE197" s="205">
        <v>15111.11</v>
      </c>
      <c r="AF197" s="205">
        <v>15111.11</v>
      </c>
      <c r="AG197" s="206">
        <v>8.3</v>
      </c>
      <c r="AH197" s="203">
        <f t="shared" si="34"/>
        <v>8.053498308212603</v>
      </c>
      <c r="AI197" s="204">
        <f t="shared" si="35"/>
        <v>121697.29882021455</v>
      </c>
    </row>
    <row r="198" spans="1:35" ht="12.75">
      <c r="A198" t="str">
        <f>+A107</f>
        <v>TOTAL</v>
      </c>
      <c r="B198" s="208">
        <f>+E107</f>
        <v>687926477.51</v>
      </c>
      <c r="C198" s="218">
        <f>+B107/E107</f>
        <v>7.4317249059031045</v>
      </c>
      <c r="D198" s="219">
        <f>+C107/E107</f>
        <v>1824.6454665542701</v>
      </c>
      <c r="E198" s="212">
        <f>+D107/E107</f>
        <v>119.31251384205112</v>
      </c>
      <c r="F198" s="212">
        <f t="shared" si="31"/>
        <v>5.068459629317417</v>
      </c>
      <c r="O198" s="199">
        <v>41009</v>
      </c>
      <c r="P198" s="200" t="s">
        <v>114</v>
      </c>
      <c r="Q198" s="200">
        <v>99.9994</v>
      </c>
      <c r="R198" s="201">
        <v>6.5</v>
      </c>
      <c r="S198" s="200">
        <v>6.6602</v>
      </c>
      <c r="T198" s="200">
        <v>549999.2</v>
      </c>
      <c r="U198" s="202">
        <v>549999.2</v>
      </c>
      <c r="V198" s="203">
        <f t="shared" si="32"/>
        <v>6.500037274046466</v>
      </c>
      <c r="W198" s="204">
        <f t="shared" si="33"/>
        <v>3575015.300695737</v>
      </c>
      <c r="AA198" t="s">
        <v>24</v>
      </c>
      <c r="AB198" s="205">
        <v>7.75</v>
      </c>
      <c r="AC198" s="205">
        <v>1406</v>
      </c>
      <c r="AD198" s="205">
        <v>99.9956</v>
      </c>
      <c r="AE198" s="205">
        <v>199991.27</v>
      </c>
      <c r="AF198" s="205">
        <v>200000</v>
      </c>
      <c r="AG198" s="206">
        <v>7.9782</v>
      </c>
      <c r="AH198" s="203">
        <f t="shared" si="34"/>
        <v>7.750039891905658</v>
      </c>
      <c r="AI198" s="204">
        <f t="shared" si="35"/>
        <v>1549940.3205328751</v>
      </c>
    </row>
    <row r="199" spans="2:35" ht="12.75">
      <c r="B199" s="208"/>
      <c r="C199" s="218"/>
      <c r="D199" s="219"/>
      <c r="E199" s="212"/>
      <c r="F199" s="212"/>
      <c r="O199" s="199">
        <v>41012</v>
      </c>
      <c r="P199" s="200" t="s">
        <v>114</v>
      </c>
      <c r="Q199" s="200">
        <v>99.9991</v>
      </c>
      <c r="R199" s="201">
        <v>6.5</v>
      </c>
      <c r="S199" s="200">
        <v>6.6602</v>
      </c>
      <c r="T199" s="200">
        <v>297497.21</v>
      </c>
      <c r="U199" s="202">
        <v>297497.21</v>
      </c>
      <c r="V199" s="203">
        <f t="shared" si="32"/>
        <v>6.500037274046466</v>
      </c>
      <c r="W199" s="204">
        <f t="shared" si="33"/>
        <v>1933742.9539248291</v>
      </c>
      <c r="AA199" t="s">
        <v>24</v>
      </c>
      <c r="AB199" s="205">
        <v>7.75</v>
      </c>
      <c r="AC199" s="205">
        <v>1394</v>
      </c>
      <c r="AD199" s="205">
        <v>99.9954</v>
      </c>
      <c r="AE199" s="205">
        <v>74996.52</v>
      </c>
      <c r="AF199" s="205">
        <v>75000</v>
      </c>
      <c r="AG199" s="206">
        <v>7.9782</v>
      </c>
      <c r="AH199" s="203">
        <f t="shared" si="34"/>
        <v>7.750039891905658</v>
      </c>
      <c r="AI199" s="204">
        <f t="shared" si="35"/>
        <v>581226.0217541006</v>
      </c>
    </row>
    <row r="200" spans="2:35" ht="12.75">
      <c r="B200" s="208"/>
      <c r="C200" s="218"/>
      <c r="D200" s="219"/>
      <c r="E200" s="212"/>
      <c r="F200" s="212"/>
      <c r="O200" s="199">
        <v>40945</v>
      </c>
      <c r="P200" s="200" t="s">
        <v>114</v>
      </c>
      <c r="Q200" s="200">
        <v>99.9971</v>
      </c>
      <c r="R200" s="201">
        <v>6.5</v>
      </c>
      <c r="S200" s="200">
        <v>6.6602</v>
      </c>
      <c r="T200" s="200">
        <v>12499.32</v>
      </c>
      <c r="U200" s="202">
        <v>12499.32</v>
      </c>
      <c r="V200" s="203">
        <f t="shared" si="32"/>
        <v>6.500037274046466</v>
      </c>
      <c r="W200" s="204">
        <f t="shared" si="33"/>
        <v>81246.04590023447</v>
      </c>
      <c r="AA200" t="s">
        <v>24</v>
      </c>
      <c r="AB200" s="205">
        <v>8</v>
      </c>
      <c r="AC200" s="205">
        <v>1771</v>
      </c>
      <c r="AD200" s="205">
        <v>99.9957</v>
      </c>
      <c r="AE200" s="205">
        <v>1396939.65</v>
      </c>
      <c r="AF200" s="205">
        <v>1397000</v>
      </c>
      <c r="AG200" s="206">
        <v>8.2432</v>
      </c>
      <c r="AH200" s="203">
        <f t="shared" si="34"/>
        <v>7.9999849228418185</v>
      </c>
      <c r="AI200" s="204">
        <f t="shared" si="35"/>
        <v>11175496.138119927</v>
      </c>
    </row>
    <row r="201" spans="2:35" ht="12.75">
      <c r="B201" s="208"/>
      <c r="C201" s="218"/>
      <c r="D201" s="219"/>
      <c r="E201" s="212"/>
      <c r="F201" s="212"/>
      <c r="O201" s="199">
        <v>40987</v>
      </c>
      <c r="P201" s="200" t="s">
        <v>114</v>
      </c>
      <c r="Q201" s="200">
        <v>99.998</v>
      </c>
      <c r="R201" s="201">
        <v>6.5</v>
      </c>
      <c r="S201" s="200">
        <v>6.6602</v>
      </c>
      <c r="T201" s="200">
        <v>129996.76</v>
      </c>
      <c r="U201" s="202">
        <v>129996.76</v>
      </c>
      <c r="V201" s="203">
        <f t="shared" si="32"/>
        <v>6.500037274046466</v>
      </c>
      <c r="W201" s="204">
        <f t="shared" si="33"/>
        <v>844983.7855052727</v>
      </c>
      <c r="AA201" t="s">
        <v>24</v>
      </c>
      <c r="AB201" s="205">
        <v>0</v>
      </c>
      <c r="AC201" s="205">
        <v>1059</v>
      </c>
      <c r="AD201" s="205">
        <v>100</v>
      </c>
      <c r="AE201" s="205">
        <v>200000</v>
      </c>
      <c r="AF201" s="205">
        <v>200000</v>
      </c>
      <c r="AG201" s="206">
        <v>8.2996</v>
      </c>
      <c r="AH201" s="203">
        <f t="shared" si="34"/>
        <v>8.053121526990559</v>
      </c>
      <c r="AI201" s="204">
        <f t="shared" si="35"/>
        <v>1610624.3053981117</v>
      </c>
    </row>
    <row r="202" spans="2:35" ht="12.75">
      <c r="B202" s="208"/>
      <c r="C202" s="218"/>
      <c r="D202" s="219"/>
      <c r="E202" s="212"/>
      <c r="F202" s="212"/>
      <c r="O202" s="199">
        <v>40983</v>
      </c>
      <c r="P202" s="200" t="s">
        <v>114</v>
      </c>
      <c r="Q202" s="200">
        <v>99.9977</v>
      </c>
      <c r="R202" s="201">
        <v>6.5</v>
      </c>
      <c r="S202" s="200">
        <v>6.6602</v>
      </c>
      <c r="T202" s="200">
        <v>749983</v>
      </c>
      <c r="U202" s="202">
        <v>749983</v>
      </c>
      <c r="V202" s="203">
        <f t="shared" si="32"/>
        <v>6.500037274046466</v>
      </c>
      <c r="W202" s="204">
        <f t="shared" si="33"/>
        <v>4874917.4549011905</v>
      </c>
      <c r="AA202" t="s">
        <v>24</v>
      </c>
      <c r="AB202" s="205">
        <v>8</v>
      </c>
      <c r="AC202" s="205">
        <v>1777</v>
      </c>
      <c r="AD202" s="205">
        <v>99.9962</v>
      </c>
      <c r="AE202" s="205">
        <v>99996.24</v>
      </c>
      <c r="AF202" s="205">
        <v>100000</v>
      </c>
      <c r="AG202" s="206">
        <v>8.2432</v>
      </c>
      <c r="AH202" s="203">
        <f t="shared" si="34"/>
        <v>7.9999849228418185</v>
      </c>
      <c r="AI202" s="204">
        <f t="shared" si="35"/>
        <v>799968.412340872</v>
      </c>
    </row>
    <row r="203" spans="2:35" ht="12.75">
      <c r="B203" s="208"/>
      <c r="C203" s="218"/>
      <c r="D203" s="219"/>
      <c r="E203" s="212"/>
      <c r="F203" s="212"/>
      <c r="O203" s="199">
        <v>40954</v>
      </c>
      <c r="P203" s="200" t="s">
        <v>114</v>
      </c>
      <c r="Q203" s="200">
        <v>99.9968</v>
      </c>
      <c r="R203" s="201">
        <v>6.5</v>
      </c>
      <c r="S203" s="200">
        <v>6.6602</v>
      </c>
      <c r="T203" s="200">
        <v>168744.57</v>
      </c>
      <c r="U203" s="202">
        <v>168744.57</v>
      </c>
      <c r="V203" s="203">
        <f t="shared" si="32"/>
        <v>6.500037274046466</v>
      </c>
      <c r="W203" s="204">
        <f t="shared" si="33"/>
        <v>1096845.9947929431</v>
      </c>
      <c r="AA203" t="s">
        <v>24</v>
      </c>
      <c r="AB203" s="205">
        <v>8</v>
      </c>
      <c r="AC203" s="205">
        <v>1783</v>
      </c>
      <c r="AD203" s="205">
        <v>99.997</v>
      </c>
      <c r="AE203" s="205">
        <v>499984.86</v>
      </c>
      <c r="AF203" s="205">
        <v>500000</v>
      </c>
      <c r="AG203" s="206">
        <v>8.2432</v>
      </c>
      <c r="AH203" s="203">
        <f t="shared" si="34"/>
        <v>7.9999849228418185</v>
      </c>
      <c r="AI203" s="204">
        <f t="shared" si="35"/>
        <v>3999871.3416491775</v>
      </c>
    </row>
    <row r="204" spans="2:35" ht="12.75">
      <c r="B204" s="208"/>
      <c r="C204" s="218"/>
      <c r="D204" s="219"/>
      <c r="E204" s="212"/>
      <c r="F204" s="212"/>
      <c r="O204" s="199">
        <v>40942</v>
      </c>
      <c r="P204" s="200" t="s">
        <v>114</v>
      </c>
      <c r="Q204" s="200">
        <v>99.9971</v>
      </c>
      <c r="R204" s="201">
        <v>6.5</v>
      </c>
      <c r="S204" s="200">
        <v>6.6602</v>
      </c>
      <c r="T204" s="200">
        <v>187494.55</v>
      </c>
      <c r="U204" s="202">
        <v>187494.55</v>
      </c>
      <c r="V204" s="203">
        <f t="shared" si="32"/>
        <v>6.500037274046466</v>
      </c>
      <c r="W204" s="204">
        <f t="shared" si="33"/>
        <v>1218721.5636805687</v>
      </c>
      <c r="AA204" t="s">
        <v>24</v>
      </c>
      <c r="AB204" s="205">
        <v>8</v>
      </c>
      <c r="AC204" s="205">
        <v>1787</v>
      </c>
      <c r="AD204" s="205">
        <v>99.9976</v>
      </c>
      <c r="AE204" s="205">
        <v>5999.85</v>
      </c>
      <c r="AF204" s="205">
        <v>6000</v>
      </c>
      <c r="AG204" s="206">
        <v>8.2432</v>
      </c>
      <c r="AH204" s="203">
        <f t="shared" si="34"/>
        <v>7.9999849228418185</v>
      </c>
      <c r="AI204" s="204">
        <f t="shared" si="35"/>
        <v>47998.70953931249</v>
      </c>
    </row>
    <row r="205" spans="2:35" ht="12.75">
      <c r="B205" s="208"/>
      <c r="C205" s="218"/>
      <c r="D205" s="219"/>
      <c r="E205" s="212"/>
      <c r="F205" s="212"/>
      <c r="O205" s="199">
        <v>40963</v>
      </c>
      <c r="P205" s="200" t="s">
        <v>114</v>
      </c>
      <c r="Q205" s="200">
        <v>99.9967</v>
      </c>
      <c r="R205" s="201">
        <v>6.5</v>
      </c>
      <c r="S205" s="200">
        <v>6.6602</v>
      </c>
      <c r="T205" s="200">
        <v>5146707.2</v>
      </c>
      <c r="U205" s="202">
        <v>5146707.2</v>
      </c>
      <c r="V205" s="203">
        <f t="shared" si="32"/>
        <v>6.500037274046466</v>
      </c>
      <c r="W205" s="204">
        <f t="shared" si="33"/>
        <v>33453788.638603322</v>
      </c>
      <c r="AA205" t="s">
        <v>24</v>
      </c>
      <c r="AB205" s="205">
        <v>8</v>
      </c>
      <c r="AC205" s="205">
        <v>1785</v>
      </c>
      <c r="AD205" s="205">
        <v>99.9973</v>
      </c>
      <c r="AE205" s="205">
        <v>99997.26</v>
      </c>
      <c r="AF205" s="205">
        <v>100000</v>
      </c>
      <c r="AG205" s="206">
        <v>8.2432</v>
      </c>
      <c r="AH205" s="203">
        <f t="shared" si="34"/>
        <v>7.9999849228418185</v>
      </c>
      <c r="AI205" s="204">
        <f t="shared" si="35"/>
        <v>799976.5723254932</v>
      </c>
    </row>
    <row r="206" spans="2:37" ht="12.75">
      <c r="B206" s="208"/>
      <c r="C206" s="218"/>
      <c r="D206" s="219"/>
      <c r="E206" s="212"/>
      <c r="F206" s="212"/>
      <c r="O206" s="220">
        <v>40968</v>
      </c>
      <c r="P206" s="221" t="s">
        <v>114</v>
      </c>
      <c r="Q206" s="221">
        <v>99.9968</v>
      </c>
      <c r="R206" s="222">
        <v>6.5</v>
      </c>
      <c r="S206" s="221">
        <v>6.6602</v>
      </c>
      <c r="T206" s="221">
        <v>149995.24</v>
      </c>
      <c r="U206" s="223">
        <v>149995.24</v>
      </c>
      <c r="V206" s="203">
        <f t="shared" si="32"/>
        <v>6.500037274046466</v>
      </c>
      <c r="W206" s="204">
        <f t="shared" si="33"/>
        <v>974974.6509295454</v>
      </c>
      <c r="AA206" t="s">
        <v>24</v>
      </c>
      <c r="AB206" s="205">
        <v>7.75</v>
      </c>
      <c r="AC206" s="205">
        <v>1428</v>
      </c>
      <c r="AD206" s="205">
        <v>99.9979</v>
      </c>
      <c r="AE206" s="205">
        <v>29999.37</v>
      </c>
      <c r="AF206" s="205">
        <v>30000</v>
      </c>
      <c r="AG206" s="206">
        <v>7.9782</v>
      </c>
      <c r="AH206" s="203">
        <f t="shared" si="34"/>
        <v>7.750039891905658</v>
      </c>
      <c r="AI206" s="204">
        <f t="shared" si="35"/>
        <v>232496.31423203784</v>
      </c>
      <c r="AJ206" s="218">
        <f>+SUM(AI188:AI206)/SUM(AF188:AF206)</f>
        <v>7.977856237790484</v>
      </c>
      <c r="AK206" s="218">
        <f>+SUM(AI188:AI206)</f>
        <v>25612259.64949984</v>
      </c>
    </row>
    <row r="207" spans="2:37" ht="12.75">
      <c r="B207" s="208"/>
      <c r="C207" s="218"/>
      <c r="D207" s="219"/>
      <c r="E207" s="212"/>
      <c r="F207" s="212"/>
      <c r="P207" s="224" t="s">
        <v>189</v>
      </c>
      <c r="U207" s="218">
        <f>+SUM(U5:U206)</f>
        <v>113753187.55999994</v>
      </c>
      <c r="V207" s="218"/>
      <c r="W207" s="218">
        <f>+SUM(W5:W206)</f>
        <v>902198048.8844159</v>
      </c>
      <c r="X207" s="204">
        <f>+SUM(W207)/SUM(U207)</f>
        <v>7.93118916697209</v>
      </c>
      <c r="Y207" s="204"/>
      <c r="AA207" t="s">
        <v>11</v>
      </c>
      <c r="AC207" s="205">
        <f>SUM(AC5:AC206)</f>
        <v>269795</v>
      </c>
      <c r="AD207" s="205">
        <f>SUM(AD5:AD206)</f>
        <v>18438.303626</v>
      </c>
      <c r="AE207" s="205">
        <f>SUM(AE5:AE206)</f>
        <v>113753187.55999996</v>
      </c>
      <c r="AF207" s="205">
        <f>SUM(AF5:AF206)</f>
        <v>113005285.93999998</v>
      </c>
      <c r="AH207" s="205"/>
      <c r="AI207" s="205"/>
      <c r="AJ207" s="218">
        <f>+SUM(AI5:AI206)</f>
        <v>902198048.8844161</v>
      </c>
      <c r="AK207" s="218">
        <f>+SUM(AJ207)/SUM(AF207)</f>
        <v>7.983680067527435</v>
      </c>
    </row>
    <row r="208" spans="2:6" ht="12.75">
      <c r="B208" s="208"/>
      <c r="C208" s="218"/>
      <c r="D208" s="219"/>
      <c r="E208" s="212"/>
      <c r="F208" s="212"/>
    </row>
    <row r="209" spans="2:6" ht="12.75">
      <c r="B209" s="208"/>
      <c r="C209" s="218"/>
      <c r="D209" s="219"/>
      <c r="E209" s="212"/>
      <c r="F209" s="212"/>
    </row>
    <row r="210" spans="2:6" ht="12.75">
      <c r="B210" s="208"/>
      <c r="C210" s="218"/>
      <c r="D210" s="219"/>
      <c r="E210" s="212"/>
      <c r="F210" s="212"/>
    </row>
    <row r="211" spans="2:6" ht="12.75">
      <c r="B211" s="208"/>
      <c r="C211" s="218"/>
      <c r="D211" s="219"/>
      <c r="E211" s="212"/>
      <c r="F211" s="212"/>
    </row>
    <row r="212" spans="2:6" ht="12.75">
      <c r="B212" s="208"/>
      <c r="C212" s="218"/>
      <c r="D212" s="219"/>
      <c r="E212" s="212"/>
      <c r="F212" s="212"/>
    </row>
    <row r="213" spans="2:6" ht="12.75">
      <c r="B213" s="208"/>
      <c r="C213" s="218"/>
      <c r="D213" s="219"/>
      <c r="E213" s="212"/>
      <c r="F213" s="212"/>
    </row>
    <row r="214" spans="2:6" ht="12.75">
      <c r="B214" s="208"/>
      <c r="C214" s="218"/>
      <c r="D214" s="219"/>
      <c r="E214" s="212"/>
      <c r="F214" s="212"/>
    </row>
    <row r="215" spans="2:6" ht="12.75">
      <c r="B215" s="208"/>
      <c r="C215" s="218"/>
      <c r="D215" s="219"/>
      <c r="E215" s="212"/>
      <c r="F215" s="212"/>
    </row>
    <row r="216" spans="2:6" ht="12.75">
      <c r="B216" s="208"/>
      <c r="C216" s="218"/>
      <c r="D216" s="219"/>
      <c r="E216" s="212"/>
      <c r="F216" s="212"/>
    </row>
    <row r="217" spans="2:6" ht="12.75">
      <c r="B217" s="208"/>
      <c r="C217" s="218"/>
      <c r="D217" s="219"/>
      <c r="E217" s="212"/>
      <c r="F217" s="212"/>
    </row>
    <row r="218" spans="2:6" ht="12.75">
      <c r="B218" s="208"/>
      <c r="C218" s="218"/>
      <c r="D218" s="219"/>
      <c r="E218" s="212"/>
      <c r="F218" s="212"/>
    </row>
    <row r="219" spans="2:6" ht="12.75">
      <c r="B219" s="208"/>
      <c r="C219" s="218"/>
      <c r="D219" s="219"/>
      <c r="E219" s="212"/>
      <c r="F219" s="212"/>
    </row>
    <row r="220" spans="2:6" ht="12.75">
      <c r="B220" s="208"/>
      <c r="C220" s="218"/>
      <c r="D220" s="219"/>
      <c r="E220" s="212"/>
      <c r="F220" s="212"/>
    </row>
    <row r="221" spans="2:6" ht="12.75">
      <c r="B221" s="208"/>
      <c r="C221" s="218"/>
      <c r="D221" s="219"/>
      <c r="E221" s="212"/>
      <c r="F221" s="212"/>
    </row>
    <row r="222" spans="2:6" ht="12.75">
      <c r="B222" s="208"/>
      <c r="C222" s="218"/>
      <c r="D222" s="219"/>
      <c r="E222" s="212"/>
      <c r="F222" s="212"/>
    </row>
    <row r="223" spans="2:6" ht="12.75">
      <c r="B223" s="208"/>
      <c r="C223" s="218"/>
      <c r="D223" s="219"/>
      <c r="E223" s="212"/>
      <c r="F223" s="212"/>
    </row>
    <row r="224" spans="2:6" ht="12.75">
      <c r="B224" s="208"/>
      <c r="C224" s="218"/>
      <c r="D224" s="219"/>
      <c r="E224" s="212"/>
      <c r="F224" s="212"/>
    </row>
    <row r="225" spans="2:6" ht="12.75">
      <c r="B225" s="208"/>
      <c r="C225" s="218"/>
      <c r="D225" s="219"/>
      <c r="E225" s="212"/>
      <c r="F225" s="212"/>
    </row>
    <row r="226" spans="2:6" ht="12.75">
      <c r="B226" s="208"/>
      <c r="C226" s="218"/>
      <c r="D226" s="219"/>
      <c r="E226" s="212"/>
      <c r="F226" s="212"/>
    </row>
    <row r="227" spans="2:6" ht="12.75">
      <c r="B227" s="208"/>
      <c r="C227" s="218"/>
      <c r="D227" s="219"/>
      <c r="E227" s="212"/>
      <c r="F227" s="212"/>
    </row>
    <row r="228" spans="2:6" ht="12.75">
      <c r="B228" s="208"/>
      <c r="C228" s="218"/>
      <c r="D228" s="219"/>
      <c r="E228" s="212"/>
      <c r="F228" s="212"/>
    </row>
  </sheetData>
  <sheetProtection/>
  <conditionalFormatting sqref="H18">
    <cfRule type="expression" priority="1" dxfId="0" stopIfTrue="1">
      <formula>"k29=NO"</formula>
    </cfRule>
    <cfRule type="expression" priority="2" dxfId="2" stopIfTrue="1">
      <formula>"K29=SI"</formula>
    </cfRule>
  </conditionalFormatting>
  <conditionalFormatting sqref="I18:L18">
    <cfRule type="expression" priority="3" dxfId="1" stopIfTrue="1">
      <formula>$I$18="SI"</formula>
    </cfRule>
    <cfRule type="expression" priority="4" dxfId="0" stopIfTrue="1">
      <formula>$I$18&lt;&gt;"SI"</formula>
    </cfRule>
  </conditionalFormatting>
  <printOptions/>
  <pageMargins left="0.75" right="0.75" top="1.534251969" bottom="1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63"/>
  <sheetViews>
    <sheetView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57421875" style="185" customWidth="1"/>
    <col min="2" max="2" width="15.00390625" style="185" customWidth="1"/>
    <col min="3" max="3" width="11.421875" style="185" customWidth="1"/>
    <col min="4" max="4" width="16.00390625" style="185" customWidth="1"/>
    <col min="5" max="5" width="15.8515625" style="185" customWidth="1"/>
    <col min="6" max="7" width="16.00390625" style="185" customWidth="1"/>
    <col min="8" max="8" width="11.421875" style="185" customWidth="1"/>
    <col min="9" max="9" width="15.00390625" style="185" customWidth="1"/>
    <col min="10" max="10" width="3.57421875" style="185" customWidth="1"/>
    <col min="11" max="11" width="2.8515625" style="185" customWidth="1"/>
    <col min="12" max="13" width="10.7109375" style="185" hidden="1" customWidth="1"/>
    <col min="14" max="14" width="16.421875" style="185" hidden="1" customWidth="1"/>
    <col min="15" max="15" width="20.7109375" style="185" hidden="1" customWidth="1"/>
    <col min="16" max="16" width="22.28125" style="185" hidden="1" customWidth="1"/>
    <col min="17" max="17" width="19.421875" style="185" hidden="1" customWidth="1"/>
    <col min="18" max="19" width="10.7109375" style="185" hidden="1" customWidth="1"/>
    <col min="20" max="20" width="2.140625" style="185" hidden="1" customWidth="1"/>
    <col min="21" max="16384" width="11.421875" style="185" hidden="1" customWidth="1"/>
  </cols>
  <sheetData>
    <row r="1" ht="13.5" thickBot="1"/>
    <row r="2" spans="2:9" ht="13.5" thickTop="1">
      <c r="B2" s="347"/>
      <c r="C2" s="348"/>
      <c r="D2" s="348"/>
      <c r="E2" s="348"/>
      <c r="F2" s="348"/>
      <c r="G2" s="348"/>
      <c r="H2" s="348"/>
      <c r="I2" s="349"/>
    </row>
    <row r="3" spans="2:9" ht="12.75">
      <c r="B3" s="226"/>
      <c r="C3" s="225"/>
      <c r="D3" s="225"/>
      <c r="E3" s="225"/>
      <c r="F3" s="225"/>
      <c r="G3" s="225"/>
      <c r="H3" s="225"/>
      <c r="I3" s="227"/>
    </row>
    <row r="4" spans="2:9" ht="20.25">
      <c r="B4" s="521" t="s">
        <v>452</v>
      </c>
      <c r="C4" s="522"/>
      <c r="D4" s="522"/>
      <c r="E4" s="522"/>
      <c r="F4" s="522"/>
      <c r="G4" s="522"/>
      <c r="H4" s="522"/>
      <c r="I4" s="523"/>
    </row>
    <row r="5" spans="2:9" ht="24" customHeight="1" thickBot="1">
      <c r="B5" s="524" t="s">
        <v>453</v>
      </c>
      <c r="C5" s="525"/>
      <c r="D5" s="525"/>
      <c r="E5" s="525"/>
      <c r="F5" s="525"/>
      <c r="G5" s="525"/>
      <c r="H5" s="525"/>
      <c r="I5" s="526"/>
    </row>
    <row r="6" spans="2:9" ht="13.5" thickTop="1">
      <c r="B6" s="226"/>
      <c r="C6" s="225"/>
      <c r="D6" s="225"/>
      <c r="E6" s="225"/>
      <c r="F6" s="225"/>
      <c r="G6" s="225"/>
      <c r="H6" s="225"/>
      <c r="I6" s="227"/>
    </row>
    <row r="7" spans="2:9" ht="12.75">
      <c r="B7" s="226"/>
      <c r="C7" s="225"/>
      <c r="D7" s="225"/>
      <c r="E7" s="225"/>
      <c r="F7" s="225"/>
      <c r="G7" s="225"/>
      <c r="H7" s="225"/>
      <c r="I7" s="227"/>
    </row>
    <row r="8" spans="2:9" ht="12.75">
      <c r="B8" s="367" t="s">
        <v>9</v>
      </c>
      <c r="C8" s="225"/>
      <c r="D8" s="225" t="s">
        <v>98</v>
      </c>
      <c r="E8" s="225"/>
      <c r="F8" s="225"/>
      <c r="G8" s="225"/>
      <c r="H8" s="225"/>
      <c r="I8" s="227"/>
    </row>
    <row r="9" spans="2:9" ht="12.75">
      <c r="B9" s="367"/>
      <c r="C9" s="225"/>
      <c r="D9" s="225"/>
      <c r="E9" s="225"/>
      <c r="F9" s="225"/>
      <c r="G9" s="225"/>
      <c r="H9" s="225"/>
      <c r="I9" s="227"/>
    </row>
    <row r="10" spans="2:9" ht="54.75" customHeight="1">
      <c r="B10" s="368" t="s">
        <v>10</v>
      </c>
      <c r="C10" s="225"/>
      <c r="D10" s="532" t="s">
        <v>414</v>
      </c>
      <c r="E10" s="532"/>
      <c r="F10" s="532"/>
      <c r="G10" s="532"/>
      <c r="H10" s="532"/>
      <c r="I10" s="369"/>
    </row>
    <row r="11" spans="2:9" ht="14.25" customHeight="1">
      <c r="B11" s="370"/>
      <c r="C11" s="225"/>
      <c r="D11" s="530"/>
      <c r="E11" s="530"/>
      <c r="F11" s="530"/>
      <c r="G11" s="530"/>
      <c r="H11" s="530"/>
      <c r="I11" s="531"/>
    </row>
    <row r="12" spans="2:9" ht="13.5" thickBot="1">
      <c r="B12" s="226"/>
      <c r="C12" s="225"/>
      <c r="D12" s="371"/>
      <c r="E12" s="371"/>
      <c r="F12" s="371"/>
      <c r="G12" s="371"/>
      <c r="H12" s="371"/>
      <c r="I12" s="372"/>
    </row>
    <row r="13" spans="2:9" ht="17.25" thickBot="1" thickTop="1">
      <c r="B13" s="527" t="s">
        <v>45</v>
      </c>
      <c r="C13" s="528"/>
      <c r="D13" s="528"/>
      <c r="E13" s="528"/>
      <c r="F13" s="528"/>
      <c r="G13" s="528"/>
      <c r="H13" s="528"/>
      <c r="I13" s="529"/>
    </row>
    <row r="14" spans="2:9" ht="13.5" thickTop="1">
      <c r="B14" s="226"/>
      <c r="C14" s="225"/>
      <c r="D14" s="225"/>
      <c r="E14" s="225"/>
      <c r="F14" s="225"/>
      <c r="G14" s="225"/>
      <c r="H14" s="225"/>
      <c r="I14" s="227"/>
    </row>
    <row r="15" spans="2:9" ht="13.5" customHeight="1" thickBot="1">
      <c r="B15" s="226"/>
      <c r="C15" s="225"/>
      <c r="D15" s="225"/>
      <c r="E15" s="225"/>
      <c r="F15" s="225"/>
      <c r="G15" s="225"/>
      <c r="H15" s="225"/>
      <c r="I15" s="227"/>
    </row>
    <row r="16" spans="2:9" ht="16.5" customHeight="1" thickBot="1">
      <c r="B16" s="226"/>
      <c r="C16" s="225"/>
      <c r="D16" s="517" t="s">
        <v>451</v>
      </c>
      <c r="E16" s="518"/>
      <c r="F16" s="518"/>
      <c r="G16" s="519"/>
      <c r="H16" s="225"/>
      <c r="I16" s="227"/>
    </row>
    <row r="17" spans="2:9" ht="36.75" customHeight="1" thickBot="1">
      <c r="B17" s="226"/>
      <c r="C17" s="225"/>
      <c r="D17" s="402" t="s">
        <v>8</v>
      </c>
      <c r="E17" s="403" t="s">
        <v>109</v>
      </c>
      <c r="F17" s="404" t="s">
        <v>201</v>
      </c>
      <c r="G17" s="405" t="s">
        <v>7</v>
      </c>
      <c r="H17" s="225" t="s">
        <v>85</v>
      </c>
      <c r="I17" s="227"/>
    </row>
    <row r="18" spans="2:13" ht="13.5" hidden="1" thickBot="1">
      <c r="B18" s="226"/>
      <c r="C18" s="225"/>
      <c r="D18" s="373">
        <v>2012</v>
      </c>
      <c r="E18" s="374">
        <v>687926477.51</v>
      </c>
      <c r="F18" s="375">
        <v>7.4317249059031</v>
      </c>
      <c r="G18" s="376">
        <v>5.068459629317417</v>
      </c>
      <c r="H18" s="225"/>
      <c r="I18" s="227"/>
      <c r="M18" s="377"/>
    </row>
    <row r="19" spans="2:13" ht="12.75">
      <c r="B19" s="226"/>
      <c r="C19" s="225"/>
      <c r="D19" s="378">
        <v>2023</v>
      </c>
      <c r="E19" s="379">
        <v>505220473.5500001</v>
      </c>
      <c r="F19" s="492">
        <v>7.138865769494182</v>
      </c>
      <c r="G19" s="493">
        <v>12.363738111409187</v>
      </c>
      <c r="H19" s="225"/>
      <c r="I19" s="227"/>
      <c r="M19" s="382"/>
    </row>
    <row r="20" spans="2:13" ht="13.5" thickBot="1">
      <c r="B20" s="226"/>
      <c r="C20" s="225"/>
      <c r="D20" s="383" t="s">
        <v>520</v>
      </c>
      <c r="E20" s="384">
        <v>36594441.91</v>
      </c>
      <c r="F20" s="385">
        <v>8.842919856818034</v>
      </c>
      <c r="G20" s="386">
        <v>11.800314511340291</v>
      </c>
      <c r="H20" s="225"/>
      <c r="I20" s="227"/>
      <c r="M20" s="382"/>
    </row>
    <row r="21" spans="2:13" ht="12.75">
      <c r="B21" s="226"/>
      <c r="C21" s="225"/>
      <c r="D21" s="520" t="s">
        <v>426</v>
      </c>
      <c r="E21" s="520"/>
      <c r="F21" s="387"/>
      <c r="G21" s="225"/>
      <c r="H21" s="225"/>
      <c r="I21" s="227"/>
      <c r="M21" s="382"/>
    </row>
    <row r="22" spans="2:13" ht="12.75">
      <c r="B22" s="226"/>
      <c r="C22" s="225"/>
      <c r="D22" s="225"/>
      <c r="E22" s="225"/>
      <c r="F22" s="225"/>
      <c r="G22" s="225"/>
      <c r="H22" s="225"/>
      <c r="I22" s="227"/>
      <c r="M22" s="377"/>
    </row>
    <row r="23" spans="2:13" ht="12.75">
      <c r="B23" s="226"/>
      <c r="C23" s="225"/>
      <c r="D23" s="225"/>
      <c r="E23" s="225"/>
      <c r="F23" s="225"/>
      <c r="G23" s="225"/>
      <c r="H23" s="225"/>
      <c r="I23" s="227"/>
      <c r="M23" s="377"/>
    </row>
    <row r="24" spans="2:13" ht="12.75">
      <c r="B24" s="226"/>
      <c r="C24" s="225"/>
      <c r="D24" s="225"/>
      <c r="E24" s="225"/>
      <c r="F24" s="225"/>
      <c r="G24" s="225"/>
      <c r="H24" s="225"/>
      <c r="I24" s="227"/>
      <c r="M24" s="377"/>
    </row>
    <row r="25" spans="2:9" ht="12.75">
      <c r="B25" s="226"/>
      <c r="C25" s="225"/>
      <c r="D25" s="225"/>
      <c r="E25" s="225"/>
      <c r="F25" s="225"/>
      <c r="G25" s="225"/>
      <c r="H25" s="225"/>
      <c r="I25" s="227"/>
    </row>
    <row r="26" spans="2:9" ht="12.75">
      <c r="B26" s="226"/>
      <c r="C26" s="225"/>
      <c r="D26" s="225"/>
      <c r="E26" s="225"/>
      <c r="F26" s="225"/>
      <c r="G26" s="225"/>
      <c r="H26" s="225"/>
      <c r="I26" s="227"/>
    </row>
    <row r="27" spans="2:9" ht="12.75" customHeight="1">
      <c r="B27" s="226"/>
      <c r="C27" s="225"/>
      <c r="D27" s="225"/>
      <c r="E27" s="225"/>
      <c r="F27" s="225"/>
      <c r="G27" s="225"/>
      <c r="H27" s="225"/>
      <c r="I27" s="227"/>
    </row>
    <row r="28" spans="2:9" ht="12.75" customHeight="1">
      <c r="B28" s="226"/>
      <c r="C28" s="225"/>
      <c r="D28" s="225"/>
      <c r="E28" s="225"/>
      <c r="F28" s="225"/>
      <c r="G28" s="225"/>
      <c r="H28" s="225"/>
      <c r="I28" s="227"/>
    </row>
    <row r="29" spans="2:13" ht="12.75">
      <c r="B29" s="226"/>
      <c r="C29" s="225"/>
      <c r="D29" s="225"/>
      <c r="E29" s="225"/>
      <c r="F29" s="225"/>
      <c r="G29" s="225"/>
      <c r="H29" s="225"/>
      <c r="I29" s="227"/>
      <c r="M29" s="388"/>
    </row>
    <row r="30" spans="2:9" ht="12.75">
      <c r="B30" s="226"/>
      <c r="C30" s="225"/>
      <c r="D30" s="225"/>
      <c r="E30" s="225"/>
      <c r="F30" s="225"/>
      <c r="G30" s="225"/>
      <c r="H30" s="225"/>
      <c r="I30" s="227"/>
    </row>
    <row r="31" spans="2:9" ht="12.75">
      <c r="B31" s="226"/>
      <c r="C31" s="225"/>
      <c r="D31" s="225"/>
      <c r="E31" s="225"/>
      <c r="F31" s="225"/>
      <c r="G31" s="225"/>
      <c r="H31" s="225"/>
      <c r="I31" s="227"/>
    </row>
    <row r="32" spans="2:9" ht="12.75" customHeight="1">
      <c r="B32" s="226"/>
      <c r="C32" s="225"/>
      <c r="D32" s="225"/>
      <c r="E32" s="225"/>
      <c r="F32" s="225"/>
      <c r="G32" s="225"/>
      <c r="H32" s="225"/>
      <c r="I32" s="227"/>
    </row>
    <row r="33" spans="2:9" ht="12.75" customHeight="1">
      <c r="B33" s="226"/>
      <c r="C33" s="225"/>
      <c r="D33" s="225"/>
      <c r="E33" s="225"/>
      <c r="F33" s="225"/>
      <c r="G33" s="225"/>
      <c r="H33" s="225"/>
      <c r="I33" s="227"/>
    </row>
    <row r="34" spans="2:9" ht="12.75">
      <c r="B34" s="226"/>
      <c r="C34" s="225"/>
      <c r="D34" s="225"/>
      <c r="E34" s="225"/>
      <c r="F34" s="225"/>
      <c r="G34" s="225"/>
      <c r="H34" s="225"/>
      <c r="I34" s="227"/>
    </row>
    <row r="35" spans="2:9" ht="12.75">
      <c r="B35" s="226"/>
      <c r="C35" s="225"/>
      <c r="D35" s="225"/>
      <c r="E35" s="225"/>
      <c r="F35" s="225"/>
      <c r="G35" s="225"/>
      <c r="H35" s="225"/>
      <c r="I35" s="227"/>
    </row>
    <row r="36" spans="2:9" ht="12.75">
      <c r="B36" s="226"/>
      <c r="C36" s="225"/>
      <c r="D36" s="225"/>
      <c r="E36" s="225"/>
      <c r="F36" s="225"/>
      <c r="G36" s="225"/>
      <c r="H36" s="225"/>
      <c r="I36" s="227"/>
    </row>
    <row r="37" spans="2:9" ht="12.75">
      <c r="B37" s="226"/>
      <c r="C37" s="225"/>
      <c r="D37" s="225"/>
      <c r="E37" s="225"/>
      <c r="F37" s="225"/>
      <c r="G37" s="225"/>
      <c r="H37" s="225"/>
      <c r="I37" s="227"/>
    </row>
    <row r="38" spans="2:9" ht="12.75">
      <c r="B38" s="226"/>
      <c r="C38" s="225"/>
      <c r="D38" s="225"/>
      <c r="E38" s="225"/>
      <c r="F38" s="225"/>
      <c r="G38" s="225"/>
      <c r="H38" s="225"/>
      <c r="I38" s="227"/>
    </row>
    <row r="39" spans="2:9" ht="12.75">
      <c r="B39" s="226"/>
      <c r="C39" s="225"/>
      <c r="D39" s="225"/>
      <c r="E39" s="225"/>
      <c r="F39" s="225"/>
      <c r="G39" s="225"/>
      <c r="H39" s="225"/>
      <c r="I39" s="227"/>
    </row>
    <row r="40" spans="2:9" ht="12.75">
      <c r="B40" s="226"/>
      <c r="C40" s="225"/>
      <c r="D40" s="225"/>
      <c r="E40" s="225"/>
      <c r="F40" s="225"/>
      <c r="G40" s="225"/>
      <c r="H40" s="225"/>
      <c r="I40" s="227"/>
    </row>
    <row r="41" spans="2:9" ht="13.5" thickBot="1">
      <c r="B41" s="226"/>
      <c r="C41" s="225"/>
      <c r="D41" s="225"/>
      <c r="E41" s="225"/>
      <c r="F41" s="225"/>
      <c r="G41" s="225"/>
      <c r="H41" s="225"/>
      <c r="I41" s="227"/>
    </row>
    <row r="42" spans="2:9" ht="16.5" customHeight="1" thickBot="1">
      <c r="B42" s="226"/>
      <c r="C42" s="225"/>
      <c r="D42" s="517" t="s">
        <v>451</v>
      </c>
      <c r="E42" s="518"/>
      <c r="F42" s="518"/>
      <c r="G42" s="519"/>
      <c r="H42" s="225"/>
      <c r="I42" s="227"/>
    </row>
    <row r="43" spans="2:9" ht="36" customHeight="1" thickBot="1">
      <c r="B43" s="226"/>
      <c r="C43" s="225"/>
      <c r="D43" s="406" t="s">
        <v>8</v>
      </c>
      <c r="E43" s="407" t="s">
        <v>109</v>
      </c>
      <c r="F43" s="408" t="s">
        <v>201</v>
      </c>
      <c r="G43" s="409" t="s">
        <v>7</v>
      </c>
      <c r="H43" s="225" t="s">
        <v>85</v>
      </c>
      <c r="I43" s="227"/>
    </row>
    <row r="44" spans="2:9" ht="12.75">
      <c r="B44" s="226"/>
      <c r="C44" s="225"/>
      <c r="D44" s="378" t="s">
        <v>521</v>
      </c>
      <c r="E44" s="379">
        <v>66858641.22</v>
      </c>
      <c r="F44" s="380">
        <v>7.806531487653093</v>
      </c>
      <c r="G44" s="381">
        <v>5.629011160136533</v>
      </c>
      <c r="H44" s="225"/>
      <c r="I44" s="227"/>
    </row>
    <row r="45" spans="2:9" ht="12.75" customHeight="1" thickBot="1">
      <c r="B45" s="226"/>
      <c r="C45" s="225"/>
      <c r="D45" s="383" t="s">
        <v>520</v>
      </c>
      <c r="E45" s="384">
        <v>36594441.91</v>
      </c>
      <c r="F45" s="385">
        <v>8.842919856818034</v>
      </c>
      <c r="G45" s="386">
        <v>11.800314511340291</v>
      </c>
      <c r="H45" s="225"/>
      <c r="I45" s="227"/>
    </row>
    <row r="46" spans="2:9" ht="12.75" customHeight="1">
      <c r="B46" s="226"/>
      <c r="C46" s="225"/>
      <c r="D46" s="520" t="s">
        <v>426</v>
      </c>
      <c r="E46" s="520"/>
      <c r="F46" s="387"/>
      <c r="G46" s="225"/>
      <c r="H46" s="225"/>
      <c r="I46" s="227"/>
    </row>
    <row r="47" spans="2:9" ht="12.75">
      <c r="B47" s="226"/>
      <c r="C47" s="225"/>
      <c r="D47" s="225"/>
      <c r="E47" s="225"/>
      <c r="F47" s="225"/>
      <c r="G47" s="225"/>
      <c r="H47" s="225"/>
      <c r="I47" s="227"/>
    </row>
    <row r="48" spans="2:9" ht="12.75">
      <c r="B48" s="226"/>
      <c r="C48" s="225"/>
      <c r="D48" s="225"/>
      <c r="E48" s="225"/>
      <c r="F48" s="225"/>
      <c r="G48" s="225"/>
      <c r="H48" s="225"/>
      <c r="I48" s="227"/>
    </row>
    <row r="49" spans="2:9" ht="12.75" customHeight="1">
      <c r="B49" s="226"/>
      <c r="C49" s="225"/>
      <c r="D49" s="225"/>
      <c r="E49" s="225"/>
      <c r="F49" s="225"/>
      <c r="G49" s="225"/>
      <c r="H49" s="225"/>
      <c r="I49" s="227"/>
    </row>
    <row r="50" spans="2:9" ht="12.75" customHeight="1">
      <c r="B50" s="226"/>
      <c r="C50" s="225"/>
      <c r="D50" s="225"/>
      <c r="E50" s="225"/>
      <c r="F50" s="225"/>
      <c r="G50" s="225"/>
      <c r="H50" s="225"/>
      <c r="I50" s="227"/>
    </row>
    <row r="51" spans="2:9" ht="12.75">
      <c r="B51" s="226"/>
      <c r="C51" s="225"/>
      <c r="D51" s="225"/>
      <c r="E51" s="225"/>
      <c r="F51" s="225"/>
      <c r="G51" s="225"/>
      <c r="H51" s="225"/>
      <c r="I51" s="227"/>
    </row>
    <row r="52" spans="2:9" ht="12.75">
      <c r="B52" s="226"/>
      <c r="C52" s="225"/>
      <c r="D52" s="225"/>
      <c r="E52" s="225"/>
      <c r="F52" s="225"/>
      <c r="G52" s="225"/>
      <c r="H52" s="225"/>
      <c r="I52" s="227"/>
    </row>
    <row r="53" spans="2:9" ht="12.75">
      <c r="B53" s="226"/>
      <c r="C53" s="225"/>
      <c r="D53" s="225"/>
      <c r="E53" s="225"/>
      <c r="F53" s="225"/>
      <c r="G53" s="225"/>
      <c r="H53" s="225"/>
      <c r="I53" s="227"/>
    </row>
    <row r="54" spans="2:9" ht="12.75">
      <c r="B54" s="226"/>
      <c r="C54" s="225"/>
      <c r="D54" s="225"/>
      <c r="E54" s="225"/>
      <c r="F54" s="225"/>
      <c r="G54" s="225"/>
      <c r="H54" s="225"/>
      <c r="I54" s="227"/>
    </row>
    <row r="55" spans="2:9" ht="12.75">
      <c r="B55" s="226"/>
      <c r="C55" s="225"/>
      <c r="D55" s="225"/>
      <c r="E55" s="225"/>
      <c r="F55" s="225"/>
      <c r="G55" s="225"/>
      <c r="H55" s="225"/>
      <c r="I55" s="227"/>
    </row>
    <row r="56" spans="2:9" ht="12.75" customHeight="1">
      <c r="B56" s="226"/>
      <c r="C56" s="225"/>
      <c r="D56" s="225"/>
      <c r="E56" s="225"/>
      <c r="F56" s="225"/>
      <c r="G56" s="225"/>
      <c r="H56" s="225"/>
      <c r="I56" s="227"/>
    </row>
    <row r="57" spans="2:9" ht="12.75" customHeight="1">
      <c r="B57" s="226"/>
      <c r="C57" s="225"/>
      <c r="D57" s="225"/>
      <c r="E57" s="225"/>
      <c r="F57" s="225"/>
      <c r="G57" s="225"/>
      <c r="H57" s="225"/>
      <c r="I57" s="227"/>
    </row>
    <row r="58" spans="2:9" ht="12.75" customHeight="1">
      <c r="B58" s="226"/>
      <c r="C58" s="225"/>
      <c r="D58" s="225"/>
      <c r="E58" s="225"/>
      <c r="F58" s="225"/>
      <c r="G58" s="225"/>
      <c r="H58" s="225"/>
      <c r="I58" s="227"/>
    </row>
    <row r="59" spans="2:9" ht="12.75" customHeight="1">
      <c r="B59" s="226"/>
      <c r="C59" s="225"/>
      <c r="D59" s="225"/>
      <c r="E59" s="225"/>
      <c r="F59" s="225"/>
      <c r="G59" s="225"/>
      <c r="H59" s="225"/>
      <c r="I59" s="227"/>
    </row>
    <row r="60" spans="2:9" ht="12.75">
      <c r="B60" s="226"/>
      <c r="C60" s="225"/>
      <c r="D60" s="225"/>
      <c r="E60" s="225"/>
      <c r="F60" s="225"/>
      <c r="G60" s="225"/>
      <c r="H60" s="225"/>
      <c r="I60" s="227"/>
    </row>
    <row r="61" spans="2:9" ht="12.75">
      <c r="B61" s="226"/>
      <c r="C61" s="225"/>
      <c r="D61" s="225"/>
      <c r="E61" s="225"/>
      <c r="F61" s="225"/>
      <c r="G61" s="225"/>
      <c r="H61" s="225"/>
      <c r="I61" s="227"/>
    </row>
    <row r="62" spans="2:9" ht="12.75">
      <c r="B62" s="226"/>
      <c r="C62" s="225"/>
      <c r="D62" s="225"/>
      <c r="E62" s="225"/>
      <c r="F62" s="225"/>
      <c r="G62" s="225"/>
      <c r="H62" s="225"/>
      <c r="I62" s="227"/>
    </row>
    <row r="63" spans="2:9" ht="13.5" thickBot="1">
      <c r="B63" s="228"/>
      <c r="C63" s="229" t="s">
        <v>51</v>
      </c>
      <c r="D63" s="229"/>
      <c r="E63" s="229"/>
      <c r="F63" s="229"/>
      <c r="G63" s="229"/>
      <c r="H63" s="229"/>
      <c r="I63" s="230"/>
    </row>
    <row r="64" ht="13.5" thickTop="1"/>
    <row r="65" ht="12.75"/>
  </sheetData>
  <sheetProtection/>
  <mergeCells count="9">
    <mergeCell ref="D42:G42"/>
    <mergeCell ref="D46:E46"/>
    <mergeCell ref="D21:E21"/>
    <mergeCell ref="B4:I4"/>
    <mergeCell ref="B5:I5"/>
    <mergeCell ref="B13:I13"/>
    <mergeCell ref="D16:G16"/>
    <mergeCell ref="D11:I11"/>
    <mergeCell ref="D10:H1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4.7109375" style="238" customWidth="1"/>
    <col min="2" max="2" width="4.421875" style="238" customWidth="1"/>
    <col min="3" max="3" width="4.57421875" style="238" customWidth="1"/>
    <col min="4" max="4" width="15.28125" style="238" customWidth="1"/>
    <col min="5" max="5" width="31.00390625" style="238" customWidth="1"/>
    <col min="6" max="6" width="16.57421875" style="238" customWidth="1"/>
    <col min="7" max="8" width="15.28125" style="238" customWidth="1"/>
    <col min="9" max="9" width="16.57421875" style="238" bestFit="1" customWidth="1"/>
    <col min="10" max="10" width="5.28125" style="238" bestFit="1" customWidth="1"/>
    <col min="11" max="12" width="4.57421875" style="238" customWidth="1"/>
    <col min="13" max="13" width="5.140625" style="439" bestFit="1" customWidth="1"/>
    <col min="14" max="14" width="12.28125" style="185" hidden="1" customWidth="1"/>
    <col min="15" max="15" width="11.8515625" style="185" hidden="1" customWidth="1"/>
    <col min="16" max="16" width="11.421875" style="185" hidden="1" customWidth="1"/>
    <col min="17" max="17" width="12.28125" style="185" hidden="1" customWidth="1"/>
    <col min="18" max="26" width="0" style="185" hidden="1" customWidth="1"/>
    <col min="27" max="16384" width="11.421875" style="238" hidden="1" customWidth="1"/>
  </cols>
  <sheetData>
    <row r="1" spans="1:12" ht="13.5" thickBo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4.25" thickBot="1" thickTop="1">
      <c r="A2" s="185"/>
      <c r="B2" s="347"/>
      <c r="C2" s="348"/>
      <c r="D2" s="348"/>
      <c r="E2" s="348"/>
      <c r="F2" s="348"/>
      <c r="G2" s="348"/>
      <c r="H2" s="348"/>
      <c r="I2" s="348"/>
      <c r="J2" s="348"/>
      <c r="K2" s="349"/>
      <c r="L2" s="185"/>
    </row>
    <row r="3" spans="1:12" ht="19.5" thickBot="1" thickTop="1">
      <c r="A3" s="185"/>
      <c r="B3" s="549" t="s">
        <v>515</v>
      </c>
      <c r="C3" s="550"/>
      <c r="D3" s="550"/>
      <c r="E3" s="550"/>
      <c r="F3" s="550"/>
      <c r="G3" s="550"/>
      <c r="H3" s="550"/>
      <c r="I3" s="550"/>
      <c r="J3" s="550"/>
      <c r="K3" s="551"/>
      <c r="L3" s="185"/>
    </row>
    <row r="4" spans="1:12" ht="17.25" thickBot="1" thickTop="1">
      <c r="A4" s="185"/>
      <c r="B4" s="557" t="s">
        <v>49</v>
      </c>
      <c r="C4" s="558"/>
      <c r="D4" s="558"/>
      <c r="E4" s="558"/>
      <c r="F4" s="558"/>
      <c r="G4" s="558"/>
      <c r="H4" s="558"/>
      <c r="I4" s="558"/>
      <c r="J4" s="558"/>
      <c r="K4" s="559"/>
      <c r="L4" s="185"/>
    </row>
    <row r="5" spans="1:12" ht="13.5" customHeight="1" thickTop="1">
      <c r="A5" s="185"/>
      <c r="B5" s="350"/>
      <c r="C5" s="351"/>
      <c r="D5" s="351"/>
      <c r="E5" s="351"/>
      <c r="F5" s="351"/>
      <c r="G5" s="351"/>
      <c r="H5" s="351"/>
      <c r="I5" s="351"/>
      <c r="J5" s="351"/>
      <c r="K5" s="352"/>
      <c r="L5" s="185"/>
    </row>
    <row r="6" spans="1:12" ht="8.25" customHeight="1" thickBot="1">
      <c r="A6" s="185"/>
      <c r="B6" s="350"/>
      <c r="C6" s="351"/>
      <c r="D6" s="351"/>
      <c r="E6" s="351"/>
      <c r="F6" s="351"/>
      <c r="G6" s="351"/>
      <c r="H6" s="351"/>
      <c r="I6" s="351"/>
      <c r="J6" s="351"/>
      <c r="K6" s="352"/>
      <c r="L6" s="185"/>
    </row>
    <row r="7" spans="1:25" ht="13.5" customHeight="1" thickBot="1">
      <c r="A7" s="185"/>
      <c r="B7" s="226"/>
      <c r="C7" s="225"/>
      <c r="D7" s="552" t="s">
        <v>516</v>
      </c>
      <c r="E7" s="553"/>
      <c r="F7" s="553"/>
      <c r="G7" s="553"/>
      <c r="H7" s="553"/>
      <c r="I7" s="554"/>
      <c r="J7" s="225"/>
      <c r="K7" s="227"/>
      <c r="L7" s="185"/>
      <c r="T7" s="533"/>
      <c r="U7" s="533"/>
      <c r="V7" s="533"/>
      <c r="W7" s="533"/>
      <c r="X7" s="533"/>
      <c r="Y7" s="533"/>
    </row>
    <row r="8" spans="1:12" ht="42" customHeight="1" thickBot="1">
      <c r="A8" s="185"/>
      <c r="B8" s="226"/>
      <c r="C8" s="225"/>
      <c r="D8" s="555" t="s">
        <v>25</v>
      </c>
      <c r="E8" s="556"/>
      <c r="F8" s="462" t="s">
        <v>87</v>
      </c>
      <c r="G8" s="462" t="s">
        <v>201</v>
      </c>
      <c r="H8" s="462" t="s">
        <v>74</v>
      </c>
      <c r="I8" s="410" t="s">
        <v>88</v>
      </c>
      <c r="J8" s="225"/>
      <c r="K8" s="227"/>
      <c r="L8" s="185"/>
    </row>
    <row r="9" spans="1:13" ht="12.75" customHeight="1">
      <c r="A9" s="185"/>
      <c r="B9" s="226"/>
      <c r="C9" s="225"/>
      <c r="D9" s="353" t="s">
        <v>469</v>
      </c>
      <c r="E9" s="460"/>
      <c r="F9" s="463">
        <v>154258.74</v>
      </c>
      <c r="G9" s="465">
        <v>8.663980281616459</v>
      </c>
      <c r="H9" s="463">
        <v>576.3509648140521</v>
      </c>
      <c r="I9" s="354">
        <v>100.05237818240373</v>
      </c>
      <c r="J9" s="225"/>
      <c r="K9" s="227"/>
      <c r="L9" s="185"/>
      <c r="M9" s="439" t="s">
        <v>470</v>
      </c>
    </row>
    <row r="10" spans="1:13" ht="12.75" customHeight="1">
      <c r="A10" s="185"/>
      <c r="B10" s="226"/>
      <c r="C10" s="225"/>
      <c r="D10" s="355" t="s">
        <v>475</v>
      </c>
      <c r="E10" s="461"/>
      <c r="F10" s="464">
        <v>203173.11000000004</v>
      </c>
      <c r="G10" s="466">
        <v>11.168039108812183</v>
      </c>
      <c r="H10" s="464">
        <v>703.9348704166607</v>
      </c>
      <c r="I10" s="334">
        <v>98.39203508136532</v>
      </c>
      <c r="J10" s="225"/>
      <c r="K10" s="227"/>
      <c r="L10" s="185"/>
      <c r="M10" s="439" t="s">
        <v>496</v>
      </c>
    </row>
    <row r="11" spans="1:13" ht="12.75" customHeight="1">
      <c r="A11" s="185"/>
      <c r="B11" s="226"/>
      <c r="C11" s="225"/>
      <c r="D11" s="355" t="s">
        <v>479</v>
      </c>
      <c r="E11" s="461"/>
      <c r="F11" s="464">
        <v>7516.35</v>
      </c>
      <c r="G11" s="466">
        <v>8.5088</v>
      </c>
      <c r="H11" s="464">
        <v>1469.6679279171406</v>
      </c>
      <c r="I11" s="334">
        <v>99.99644923186254</v>
      </c>
      <c r="J11" s="225"/>
      <c r="K11" s="227"/>
      <c r="L11" s="185"/>
      <c r="M11" s="439" t="s">
        <v>480</v>
      </c>
    </row>
    <row r="12" spans="1:13" ht="12.75" customHeight="1">
      <c r="A12" s="185"/>
      <c r="B12" s="226"/>
      <c r="C12" s="225"/>
      <c r="D12" s="355" t="s">
        <v>462</v>
      </c>
      <c r="E12" s="461"/>
      <c r="F12" s="464">
        <v>6449.72</v>
      </c>
      <c r="G12" s="466">
        <v>8.7748</v>
      </c>
      <c r="H12" s="464">
        <v>343.73656840917124</v>
      </c>
      <c r="I12" s="334">
        <v>99.99793354866411</v>
      </c>
      <c r="J12" s="225"/>
      <c r="K12" s="227"/>
      <c r="L12" s="185"/>
      <c r="M12" s="439" t="s">
        <v>463</v>
      </c>
    </row>
    <row r="13" spans="1:13" ht="12.75" customHeight="1">
      <c r="A13" s="185"/>
      <c r="B13" s="226"/>
      <c r="C13" s="225"/>
      <c r="D13" s="355" t="s">
        <v>473</v>
      </c>
      <c r="E13" s="461"/>
      <c r="F13" s="464">
        <v>605507.9099999999</v>
      </c>
      <c r="G13" s="466">
        <v>8.91768751263712</v>
      </c>
      <c r="H13" s="464">
        <v>510.0199494338564</v>
      </c>
      <c r="I13" s="334">
        <v>100.11414807178109</v>
      </c>
      <c r="J13" s="225"/>
      <c r="K13" s="227"/>
      <c r="L13" s="185"/>
      <c r="M13" s="439" t="s">
        <v>474</v>
      </c>
    </row>
    <row r="14" spans="1:13" ht="12.75" customHeight="1">
      <c r="A14" s="185"/>
      <c r="B14" s="226"/>
      <c r="C14" s="225"/>
      <c r="D14" s="355" t="s">
        <v>486</v>
      </c>
      <c r="E14" s="461"/>
      <c r="F14" s="464">
        <v>2774550.2700000005</v>
      </c>
      <c r="G14" s="466">
        <v>10.220161361366504</v>
      </c>
      <c r="H14" s="464">
        <v>963.2735514429874</v>
      </c>
      <c r="I14" s="334">
        <v>99.09167750742071</v>
      </c>
      <c r="J14" s="225"/>
      <c r="K14" s="227"/>
      <c r="L14" s="185"/>
      <c r="M14" s="439" t="s">
        <v>487</v>
      </c>
    </row>
    <row r="15" spans="1:13" ht="12.75" customHeight="1">
      <c r="A15" s="185"/>
      <c r="B15" s="226"/>
      <c r="C15" s="225"/>
      <c r="D15" s="355" t="s">
        <v>481</v>
      </c>
      <c r="E15" s="461"/>
      <c r="F15" s="464">
        <v>433421.01</v>
      </c>
      <c r="G15" s="466">
        <v>7.978199999999999</v>
      </c>
      <c r="H15" s="464">
        <v>823.4285679875095</v>
      </c>
      <c r="I15" s="334">
        <v>99.46552029052145</v>
      </c>
      <c r="J15" s="225"/>
      <c r="K15" s="227"/>
      <c r="L15" s="185"/>
      <c r="M15" s="439" t="s">
        <v>482</v>
      </c>
    </row>
    <row r="16" spans="1:13" ht="12.75" customHeight="1">
      <c r="A16" s="185"/>
      <c r="B16" s="226"/>
      <c r="C16" s="225"/>
      <c r="D16" s="355" t="s">
        <v>499</v>
      </c>
      <c r="E16" s="461"/>
      <c r="F16" s="464">
        <v>127713.68000000002</v>
      </c>
      <c r="G16" s="466">
        <v>9.308299999999997</v>
      </c>
      <c r="H16" s="464">
        <v>1709.9999999999995</v>
      </c>
      <c r="I16" s="334">
        <v>98.86245599999997</v>
      </c>
      <c r="J16" s="225"/>
      <c r="K16" s="227"/>
      <c r="L16" s="185"/>
      <c r="M16" s="439" t="s">
        <v>500</v>
      </c>
    </row>
    <row r="17" spans="1:13" ht="12.75" customHeight="1">
      <c r="A17" s="185"/>
      <c r="B17" s="226"/>
      <c r="C17" s="225"/>
      <c r="D17" s="355" t="s">
        <v>497</v>
      </c>
      <c r="E17" s="461"/>
      <c r="F17" s="464">
        <v>27180936.490000002</v>
      </c>
      <c r="G17" s="466">
        <v>8.178752013606724</v>
      </c>
      <c r="H17" s="464">
        <v>5384</v>
      </c>
      <c r="I17" s="334">
        <v>98.18045213872074</v>
      </c>
      <c r="J17" s="225"/>
      <c r="K17" s="227"/>
      <c r="L17" s="185"/>
      <c r="M17" s="439" t="s">
        <v>498</v>
      </c>
    </row>
    <row r="18" spans="1:13" ht="12.75" customHeight="1">
      <c r="A18" s="185"/>
      <c r="B18" s="226"/>
      <c r="C18" s="225"/>
      <c r="D18" s="355" t="s">
        <v>488</v>
      </c>
      <c r="E18" s="461"/>
      <c r="F18" s="464">
        <v>1000</v>
      </c>
      <c r="G18" s="466">
        <v>9.3807</v>
      </c>
      <c r="H18" s="464">
        <v>720</v>
      </c>
      <c r="I18" s="334">
        <v>100</v>
      </c>
      <c r="J18" s="225"/>
      <c r="K18" s="227"/>
      <c r="L18" s="185"/>
      <c r="M18" s="439" t="s">
        <v>489</v>
      </c>
    </row>
    <row r="19" spans="1:13" ht="12.75" customHeight="1">
      <c r="A19" s="185"/>
      <c r="B19" s="226"/>
      <c r="C19" s="225"/>
      <c r="D19" s="355" t="s">
        <v>477</v>
      </c>
      <c r="E19" s="461"/>
      <c r="F19" s="464">
        <v>5071435.339999999</v>
      </c>
      <c r="G19" s="466">
        <v>11.617019132215935</v>
      </c>
      <c r="H19" s="464">
        <v>1042.3362995573561</v>
      </c>
      <c r="I19" s="334">
        <v>97.09452404529469</v>
      </c>
      <c r="J19" s="225"/>
      <c r="K19" s="227"/>
      <c r="L19" s="185"/>
      <c r="M19" s="439" t="s">
        <v>478</v>
      </c>
    </row>
    <row r="20" spans="1:13" ht="12.75" customHeight="1">
      <c r="A20" s="185"/>
      <c r="B20" s="226"/>
      <c r="C20" s="225"/>
      <c r="D20" s="355" t="s">
        <v>471</v>
      </c>
      <c r="E20" s="461"/>
      <c r="F20" s="464">
        <v>28385.909999999993</v>
      </c>
      <c r="G20" s="466">
        <v>8.508725580684224</v>
      </c>
      <c r="H20" s="464">
        <v>928.3111674066469</v>
      </c>
      <c r="I20" s="334">
        <v>99.995475404605</v>
      </c>
      <c r="J20" s="225"/>
      <c r="K20" s="227"/>
      <c r="L20" s="185"/>
      <c r="M20" s="439" t="s">
        <v>472</v>
      </c>
    </row>
    <row r="21" spans="1:13" ht="12.75" customHeight="1" thickBot="1">
      <c r="A21" s="185"/>
      <c r="B21" s="226"/>
      <c r="C21" s="225"/>
      <c r="D21" s="355" t="s">
        <v>467</v>
      </c>
      <c r="E21" s="461"/>
      <c r="F21" s="464">
        <v>93.38</v>
      </c>
      <c r="G21" s="466">
        <v>8.7748</v>
      </c>
      <c r="H21" s="464">
        <v>144</v>
      </c>
      <c r="I21" s="334">
        <v>99.994642</v>
      </c>
      <c r="J21" s="225"/>
      <c r="K21" s="227"/>
      <c r="L21" s="185"/>
      <c r="M21" s="439" t="s">
        <v>468</v>
      </c>
    </row>
    <row r="22" spans="1:12" ht="12.75" customHeight="1" thickBot="1">
      <c r="A22" s="185"/>
      <c r="B22" s="226"/>
      <c r="C22" s="225"/>
      <c r="D22" s="475" t="s">
        <v>11</v>
      </c>
      <c r="E22" s="476"/>
      <c r="F22" s="477">
        <v>36594441.91</v>
      </c>
      <c r="G22" s="472">
        <v>8.842919856818034</v>
      </c>
      <c r="H22" s="477">
        <v>4248.1132240825045</v>
      </c>
      <c r="I22" s="478">
        <v>98.15986437571193</v>
      </c>
      <c r="J22" s="225"/>
      <c r="K22" s="227"/>
      <c r="L22" s="185"/>
    </row>
    <row r="23" spans="1:12" ht="12.75" customHeight="1">
      <c r="A23" s="185"/>
      <c r="B23" s="226"/>
      <c r="C23" s="225"/>
      <c r="D23" s="520"/>
      <c r="E23" s="520"/>
      <c r="F23" s="357"/>
      <c r="G23" s="358"/>
      <c r="H23" s="359"/>
      <c r="I23" s="356"/>
      <c r="J23" s="225"/>
      <c r="K23" s="227"/>
      <c r="L23" s="185"/>
    </row>
    <row r="24" spans="1:12" ht="12.75" customHeight="1">
      <c r="A24" s="185"/>
      <c r="B24" s="226"/>
      <c r="C24" s="225"/>
      <c r="D24" s="360"/>
      <c r="E24" s="360"/>
      <c r="F24" s="361"/>
      <c r="G24" s="358"/>
      <c r="H24" s="359"/>
      <c r="I24" s="356"/>
      <c r="J24" s="225"/>
      <c r="K24" s="227"/>
      <c r="L24" s="185"/>
    </row>
    <row r="25" spans="1:12" ht="12.75" customHeight="1">
      <c r="A25" s="185"/>
      <c r="B25" s="226"/>
      <c r="C25" s="225"/>
      <c r="D25" s="360"/>
      <c r="E25" s="360"/>
      <c r="F25" s="361"/>
      <c r="G25" s="358"/>
      <c r="H25" s="359"/>
      <c r="I25" s="356"/>
      <c r="J25" s="225"/>
      <c r="K25" s="227"/>
      <c r="L25" s="185"/>
    </row>
    <row r="26" spans="1:12" ht="12.75" customHeight="1">
      <c r="A26" s="185"/>
      <c r="B26" s="226"/>
      <c r="C26" s="225"/>
      <c r="D26" s="360"/>
      <c r="E26" s="360"/>
      <c r="F26" s="361"/>
      <c r="G26" s="358"/>
      <c r="H26" s="359"/>
      <c r="I26" s="356"/>
      <c r="J26" s="225"/>
      <c r="K26" s="227"/>
      <c r="L26" s="185"/>
    </row>
    <row r="27" spans="1:12" ht="12.75">
      <c r="A27" s="185"/>
      <c r="B27" s="226"/>
      <c r="C27" s="225"/>
      <c r="D27" s="360"/>
      <c r="E27" s="360"/>
      <c r="F27" s="361"/>
      <c r="G27" s="358"/>
      <c r="H27" s="359"/>
      <c r="I27" s="356"/>
      <c r="J27" s="225"/>
      <c r="K27" s="227"/>
      <c r="L27" s="185"/>
    </row>
    <row r="28" spans="1:12" ht="12.75">
      <c r="A28" s="185"/>
      <c r="B28" s="226"/>
      <c r="C28" s="225"/>
      <c r="D28" s="360"/>
      <c r="E28" s="360"/>
      <c r="F28" s="361"/>
      <c r="G28" s="358"/>
      <c r="H28" s="359"/>
      <c r="I28" s="356"/>
      <c r="J28" s="225"/>
      <c r="K28" s="227"/>
      <c r="L28" s="185"/>
    </row>
    <row r="29" spans="1:12" ht="12.75">
      <c r="A29" s="185"/>
      <c r="B29" s="226"/>
      <c r="C29" s="225"/>
      <c r="D29" s="360"/>
      <c r="E29" s="360"/>
      <c r="F29" s="361"/>
      <c r="G29" s="358"/>
      <c r="H29" s="359"/>
      <c r="I29" s="356"/>
      <c r="J29" s="225"/>
      <c r="K29" s="227"/>
      <c r="L29" s="185"/>
    </row>
    <row r="30" spans="1:12" ht="12.75">
      <c r="A30" s="185"/>
      <c r="B30" s="226"/>
      <c r="C30" s="225"/>
      <c r="D30" s="360"/>
      <c r="E30" s="360"/>
      <c r="F30" s="361"/>
      <c r="G30" s="358"/>
      <c r="H30" s="359"/>
      <c r="I30" s="356"/>
      <c r="J30" s="225"/>
      <c r="K30" s="227"/>
      <c r="L30" s="185"/>
    </row>
    <row r="31" spans="1:12" ht="12.75">
      <c r="A31" s="185"/>
      <c r="B31" s="226"/>
      <c r="C31" s="225"/>
      <c r="D31" s="360"/>
      <c r="E31" s="360"/>
      <c r="F31" s="361"/>
      <c r="G31" s="358"/>
      <c r="H31" s="359"/>
      <c r="I31" s="356"/>
      <c r="J31" s="225"/>
      <c r="K31" s="227"/>
      <c r="L31" s="185"/>
    </row>
    <row r="32" spans="1:12" ht="12.75">
      <c r="A32" s="185"/>
      <c r="B32" s="226"/>
      <c r="C32" s="225"/>
      <c r="D32" s="360"/>
      <c r="E32" s="360"/>
      <c r="F32" s="361"/>
      <c r="G32" s="358"/>
      <c r="H32" s="359"/>
      <c r="I32" s="356"/>
      <c r="J32" s="225"/>
      <c r="K32" s="227"/>
      <c r="L32" s="185"/>
    </row>
    <row r="33" spans="1:12" ht="12.75">
      <c r="A33" s="185"/>
      <c r="B33" s="226"/>
      <c r="C33" s="225"/>
      <c r="D33" s="360"/>
      <c r="E33" s="360"/>
      <c r="F33" s="361"/>
      <c r="G33" s="358"/>
      <c r="H33" s="359"/>
      <c r="I33" s="356"/>
      <c r="J33" s="225"/>
      <c r="K33" s="227"/>
      <c r="L33" s="185"/>
    </row>
    <row r="34" spans="1:12" ht="12.75">
      <c r="A34" s="185"/>
      <c r="B34" s="226"/>
      <c r="C34" s="225"/>
      <c r="D34" s="360"/>
      <c r="E34" s="360"/>
      <c r="F34" s="361"/>
      <c r="G34" s="358"/>
      <c r="H34" s="359"/>
      <c r="I34" s="356"/>
      <c r="J34" s="225"/>
      <c r="K34" s="227"/>
      <c r="L34" s="185"/>
    </row>
    <row r="35" spans="1:12" ht="12.75">
      <c r="A35" s="185"/>
      <c r="B35" s="226"/>
      <c r="C35" s="225"/>
      <c r="D35" s="360"/>
      <c r="E35" s="360"/>
      <c r="F35" s="361"/>
      <c r="G35" s="358"/>
      <c r="H35" s="359"/>
      <c r="I35" s="356"/>
      <c r="J35" s="225"/>
      <c r="K35" s="227"/>
      <c r="L35" s="185"/>
    </row>
    <row r="36" spans="1:12" ht="16.5" thickBot="1">
      <c r="A36" s="185"/>
      <c r="B36" s="540" t="s">
        <v>48</v>
      </c>
      <c r="C36" s="541"/>
      <c r="D36" s="541"/>
      <c r="E36" s="541"/>
      <c r="F36" s="541"/>
      <c r="G36" s="541"/>
      <c r="H36" s="541"/>
      <c r="I36" s="541"/>
      <c r="J36" s="541"/>
      <c r="K36" s="542"/>
      <c r="L36" s="185"/>
    </row>
    <row r="37" spans="1:12" ht="17.25" thickBot="1" thickTop="1">
      <c r="A37" s="185"/>
      <c r="B37" s="226"/>
      <c r="C37" s="363"/>
      <c r="D37" s="458"/>
      <c r="E37" s="458"/>
      <c r="F37" s="458"/>
      <c r="G37" s="458"/>
      <c r="H37" s="458"/>
      <c r="I37" s="458"/>
      <c r="J37" s="458"/>
      <c r="K37" s="459"/>
      <c r="L37" s="185"/>
    </row>
    <row r="38" spans="1:12" ht="13.5" thickBot="1">
      <c r="A38" s="185"/>
      <c r="B38" s="226"/>
      <c r="C38" s="363"/>
      <c r="D38" s="534" t="s">
        <v>517</v>
      </c>
      <c r="E38" s="535"/>
      <c r="F38" s="536"/>
      <c r="G38" s="536"/>
      <c r="H38" s="536"/>
      <c r="I38" s="537"/>
      <c r="J38" s="225"/>
      <c r="K38" s="227"/>
      <c r="L38" s="185"/>
    </row>
    <row r="39" spans="1:12" ht="45.75" customHeight="1" thickBot="1">
      <c r="A39" s="185"/>
      <c r="B39" s="226"/>
      <c r="C39" s="225"/>
      <c r="D39" s="538" t="s">
        <v>26</v>
      </c>
      <c r="E39" s="539"/>
      <c r="F39" s="494" t="s">
        <v>87</v>
      </c>
      <c r="G39" s="404" t="s">
        <v>201</v>
      </c>
      <c r="H39" s="403" t="s">
        <v>74</v>
      </c>
      <c r="I39" s="411" t="s">
        <v>88</v>
      </c>
      <c r="J39" s="225"/>
      <c r="K39" s="227"/>
      <c r="L39" s="185"/>
    </row>
    <row r="40" spans="1:12" ht="12.75">
      <c r="A40" s="185"/>
      <c r="B40" s="226"/>
      <c r="C40" s="225"/>
      <c r="D40" s="547" t="s">
        <v>518</v>
      </c>
      <c r="E40" s="548"/>
      <c r="F40" s="495">
        <v>962939.76</v>
      </c>
      <c r="G40" s="362">
        <v>9.35185213224138</v>
      </c>
      <c r="H40" s="333">
        <v>561.5604906894695</v>
      </c>
      <c r="I40" s="340">
        <v>99.7408998040603</v>
      </c>
      <c r="J40" s="225"/>
      <c r="K40" s="227"/>
      <c r="L40" s="185"/>
    </row>
    <row r="41" spans="1:12" ht="12.75" hidden="1">
      <c r="A41" s="185"/>
      <c r="B41" s="226"/>
      <c r="C41" s="225"/>
      <c r="D41" s="545" t="e">
        <v>#REF!</v>
      </c>
      <c r="E41" s="546"/>
      <c r="F41" s="495" t="e">
        <v>#REF!</v>
      </c>
      <c r="G41" s="362" t="e">
        <v>#REF!</v>
      </c>
      <c r="H41" s="333" t="e">
        <v>#REF!</v>
      </c>
      <c r="I41" s="340" t="e">
        <v>#REF!</v>
      </c>
      <c r="J41" s="225"/>
      <c r="K41" s="227"/>
      <c r="L41" s="185"/>
    </row>
    <row r="42" spans="1:12" ht="13.5" thickBot="1">
      <c r="A42" s="185"/>
      <c r="B42" s="226"/>
      <c r="C42" s="225"/>
      <c r="D42" s="545" t="s">
        <v>519</v>
      </c>
      <c r="E42" s="546"/>
      <c r="F42" s="495">
        <v>35631502.150000006</v>
      </c>
      <c r="G42" s="362">
        <v>8.829165984722227</v>
      </c>
      <c r="H42" s="333">
        <v>4347.742147650654</v>
      </c>
      <c r="I42" s="340">
        <v>98.11713696361694</v>
      </c>
      <c r="J42" s="225"/>
      <c r="K42" s="227"/>
      <c r="L42" s="185"/>
    </row>
    <row r="43" spans="1:12" ht="13.5" thickBot="1">
      <c r="A43" s="185"/>
      <c r="B43" s="226"/>
      <c r="C43" s="225"/>
      <c r="D43" s="543" t="s">
        <v>11</v>
      </c>
      <c r="E43" s="544"/>
      <c r="F43" s="496">
        <v>36594441.910000004</v>
      </c>
      <c r="G43" s="364">
        <v>8.842919856818032</v>
      </c>
      <c r="H43" s="337">
        <v>4248.113224082502</v>
      </c>
      <c r="I43" s="345">
        <v>98.1598643757119</v>
      </c>
      <c r="J43" s="365"/>
      <c r="K43" s="227"/>
      <c r="L43" s="185"/>
    </row>
    <row r="44" spans="1:12" ht="12.75">
      <c r="A44" s="185"/>
      <c r="B44" s="226"/>
      <c r="C44" s="225"/>
      <c r="D44" s="520" t="s">
        <v>426</v>
      </c>
      <c r="E44" s="520"/>
      <c r="F44" s="300"/>
      <c r="G44" s="301"/>
      <c r="H44" s="366"/>
      <c r="I44" s="339"/>
      <c r="J44" s="365"/>
      <c r="K44" s="227"/>
      <c r="L44" s="185"/>
    </row>
    <row r="45" spans="1:12" ht="12.75">
      <c r="A45" s="185"/>
      <c r="B45" s="226"/>
      <c r="C45" s="225"/>
      <c r="D45" s="225"/>
      <c r="E45" s="225"/>
      <c r="F45" s="225"/>
      <c r="G45" s="225"/>
      <c r="H45" s="225"/>
      <c r="I45" s="225"/>
      <c r="J45" s="365"/>
      <c r="K45" s="227"/>
      <c r="L45" s="185"/>
    </row>
    <row r="46" spans="1:12" ht="12.75">
      <c r="A46" s="185"/>
      <c r="B46" s="226"/>
      <c r="C46" s="225"/>
      <c r="D46" s="225"/>
      <c r="E46" s="225"/>
      <c r="F46" s="225"/>
      <c r="G46" s="225"/>
      <c r="H46" s="225"/>
      <c r="I46" s="225"/>
      <c r="J46" s="225"/>
      <c r="K46" s="227"/>
      <c r="L46" s="185"/>
    </row>
    <row r="47" spans="1:12" ht="12.75">
      <c r="A47" s="185"/>
      <c r="B47" s="226"/>
      <c r="C47" s="225"/>
      <c r="D47" s="225"/>
      <c r="E47" s="225"/>
      <c r="F47" s="225"/>
      <c r="G47" s="225"/>
      <c r="H47" s="225"/>
      <c r="I47" s="225"/>
      <c r="J47" s="225"/>
      <c r="K47" s="227"/>
      <c r="L47" s="185"/>
    </row>
    <row r="48" spans="1:12" ht="12.75">
      <c r="A48" s="185"/>
      <c r="B48" s="226"/>
      <c r="C48" s="225"/>
      <c r="D48" s="225"/>
      <c r="E48" s="225"/>
      <c r="F48" s="225"/>
      <c r="G48" s="225"/>
      <c r="H48" s="225"/>
      <c r="I48" s="225"/>
      <c r="J48" s="225"/>
      <c r="K48" s="227"/>
      <c r="L48" s="185"/>
    </row>
    <row r="49" spans="1:12" ht="12.75">
      <c r="A49" s="185"/>
      <c r="B49" s="226"/>
      <c r="C49" s="225"/>
      <c r="D49" s="225"/>
      <c r="E49" s="225"/>
      <c r="F49" s="225"/>
      <c r="G49" s="225"/>
      <c r="H49" s="225"/>
      <c r="I49" s="225"/>
      <c r="J49" s="225"/>
      <c r="K49" s="227"/>
      <c r="L49" s="185"/>
    </row>
    <row r="50" spans="1:12" ht="12.75">
      <c r="A50" s="185"/>
      <c r="B50" s="226"/>
      <c r="C50" s="225"/>
      <c r="D50" s="225"/>
      <c r="E50" s="225"/>
      <c r="F50" s="225"/>
      <c r="G50" s="225"/>
      <c r="H50" s="225"/>
      <c r="I50" s="225"/>
      <c r="J50" s="225"/>
      <c r="K50" s="227"/>
      <c r="L50" s="185"/>
    </row>
    <row r="51" spans="1:12" ht="12.75">
      <c r="A51" s="185"/>
      <c r="B51" s="226"/>
      <c r="C51" s="225"/>
      <c r="D51" s="225"/>
      <c r="E51" s="225"/>
      <c r="F51" s="225"/>
      <c r="G51" s="225"/>
      <c r="H51" s="225"/>
      <c r="I51" s="225"/>
      <c r="J51" s="225"/>
      <c r="K51" s="227"/>
      <c r="L51" s="185"/>
    </row>
    <row r="52" spans="1:12" ht="12.75">
      <c r="A52" s="185"/>
      <c r="B52" s="226"/>
      <c r="C52" s="225"/>
      <c r="D52" s="225"/>
      <c r="E52" s="225"/>
      <c r="F52" s="225"/>
      <c r="G52" s="225"/>
      <c r="H52" s="225"/>
      <c r="I52" s="225"/>
      <c r="J52" s="225"/>
      <c r="K52" s="227"/>
      <c r="L52" s="185"/>
    </row>
    <row r="53" spans="1:12" ht="12.75">
      <c r="A53" s="185"/>
      <c r="B53" s="226"/>
      <c r="C53" s="225"/>
      <c r="D53" s="225"/>
      <c r="E53" s="225"/>
      <c r="F53" s="225"/>
      <c r="G53" s="225"/>
      <c r="H53" s="225"/>
      <c r="I53" s="225"/>
      <c r="J53" s="225"/>
      <c r="K53" s="227"/>
      <c r="L53" s="185"/>
    </row>
    <row r="54" spans="1:12" ht="12.75">
      <c r="A54" s="185"/>
      <c r="B54" s="226"/>
      <c r="C54" s="225"/>
      <c r="D54" s="225"/>
      <c r="E54" s="225"/>
      <c r="F54" s="225"/>
      <c r="G54" s="225"/>
      <c r="H54" s="225"/>
      <c r="I54" s="225"/>
      <c r="J54" s="225"/>
      <c r="K54" s="227"/>
      <c r="L54" s="185"/>
    </row>
    <row r="55" spans="1:12" ht="12.75">
      <c r="A55" s="185"/>
      <c r="B55" s="226"/>
      <c r="C55" s="225"/>
      <c r="D55" s="225"/>
      <c r="E55" s="225"/>
      <c r="F55" s="225"/>
      <c r="G55" s="225"/>
      <c r="H55" s="225"/>
      <c r="I55" s="225"/>
      <c r="J55" s="225"/>
      <c r="K55" s="227"/>
      <c r="L55" s="185"/>
    </row>
    <row r="56" spans="1:12" ht="12.75">
      <c r="A56" s="185"/>
      <c r="B56" s="226"/>
      <c r="C56" s="225"/>
      <c r="D56" s="225"/>
      <c r="E56" s="225"/>
      <c r="F56" s="225"/>
      <c r="G56" s="225"/>
      <c r="H56" s="225"/>
      <c r="I56" s="225"/>
      <c r="J56" s="225"/>
      <c r="K56" s="227"/>
      <c r="L56" s="185"/>
    </row>
    <row r="57" spans="1:12" ht="12.75">
      <c r="A57" s="185"/>
      <c r="B57" s="226"/>
      <c r="C57" s="225"/>
      <c r="D57" s="225"/>
      <c r="E57" s="225"/>
      <c r="F57" s="225"/>
      <c r="G57" s="225"/>
      <c r="H57" s="225"/>
      <c r="I57" s="225"/>
      <c r="J57" s="225"/>
      <c r="K57" s="227"/>
      <c r="L57" s="185"/>
    </row>
    <row r="58" spans="1:12" ht="13.5" thickBot="1">
      <c r="A58" s="185"/>
      <c r="B58" s="228"/>
      <c r="C58" s="229"/>
      <c r="D58" s="229"/>
      <c r="E58" s="229"/>
      <c r="F58" s="229"/>
      <c r="G58" s="229"/>
      <c r="H58" s="229"/>
      <c r="I58" s="229"/>
      <c r="J58" s="229"/>
      <c r="K58" s="230"/>
      <c r="L58" s="185"/>
    </row>
    <row r="59" spans="1:12" ht="9" customHeight="1" thickTop="1">
      <c r="A59" s="185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</row>
    <row r="60" spans="1:3" s="225" customFormat="1" ht="12.75">
      <c r="A60" s="185"/>
      <c r="B60" s="185"/>
      <c r="C60" s="185"/>
    </row>
    <row r="61" spans="1:3" s="225" customFormat="1" ht="7.5" customHeight="1">
      <c r="A61" s="185"/>
      <c r="B61" s="185"/>
      <c r="C61" s="185"/>
    </row>
    <row r="62" spans="1:12" ht="12.75" hidden="1">
      <c r="A62" s="185"/>
      <c r="B62" s="185"/>
      <c r="C62" s="185"/>
      <c r="D62" s="225"/>
      <c r="E62" s="225"/>
      <c r="F62" s="225"/>
      <c r="G62" s="225"/>
      <c r="H62" s="225"/>
      <c r="I62" s="225"/>
      <c r="J62" s="225"/>
      <c r="K62" s="227"/>
      <c r="L62" s="185"/>
    </row>
    <row r="63" spans="1:12" ht="12.75" hidden="1">
      <c r="A63" s="185"/>
      <c r="B63" s="185"/>
      <c r="C63" s="185"/>
      <c r="D63" s="225"/>
      <c r="E63" s="225"/>
      <c r="F63" s="225"/>
      <c r="G63" s="225"/>
      <c r="H63" s="225"/>
      <c r="I63" s="225"/>
      <c r="J63" s="225"/>
      <c r="K63" s="227"/>
      <c r="L63" s="185"/>
    </row>
    <row r="64" spans="1:12" ht="13.5" hidden="1" thickBot="1">
      <c r="A64" s="185"/>
      <c r="B64" s="185"/>
      <c r="C64" s="185"/>
      <c r="D64" s="229"/>
      <c r="E64" s="229"/>
      <c r="F64" s="229"/>
      <c r="G64" s="229"/>
      <c r="H64" s="229"/>
      <c r="I64" s="229"/>
      <c r="J64" s="229"/>
      <c r="K64" s="230"/>
      <c r="L64" s="185"/>
    </row>
    <row r="65" spans="1:12" ht="12.75" hidden="1">
      <c r="A65" s="185"/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</row>
    <row r="66" spans="1:12" ht="12.75" hidden="1">
      <c r="A66" s="185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</row>
    <row r="67" spans="1:12" ht="12.75" hidden="1">
      <c r="A67" s="185"/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</row>
    <row r="68" spans="1:12" ht="12.75" hidden="1">
      <c r="A68" s="185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</row>
    <row r="69" spans="1:12" ht="12.75" hidden="1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</row>
    <row r="70" spans="1:12" ht="12.75" hidden="1">
      <c r="A70" s="185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</row>
    <row r="71" spans="1:12" ht="24" customHeight="1" hidden="1">
      <c r="A71" s="185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</row>
    <row r="72" spans="1:12" ht="12.75" customHeight="1" hidden="1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</row>
    <row r="73" spans="1:12" ht="12.75" hidden="1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</row>
    <row r="74" spans="1:12" ht="12.75" customHeight="1" hidden="1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</row>
    <row r="75" spans="1:12" ht="12.75" customHeight="1" hidden="1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</row>
    <row r="76" spans="1:12" ht="12.75" hidden="1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</row>
    <row r="77" spans="1:12" ht="12.75" hidden="1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</row>
    <row r="78" spans="1:12" ht="12.75" hidden="1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</row>
    <row r="79" spans="1:12" ht="12.75" hidden="1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</row>
    <row r="80" spans="1:12" ht="12.75" hidden="1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</row>
    <row r="81" spans="2:12" ht="12.75" hidden="1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</row>
    <row r="82" spans="2:12" ht="12.75" hidden="1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</row>
    <row r="83" spans="2:11" ht="12.75" hidden="1">
      <c r="B83" s="185"/>
      <c r="C83" s="185"/>
      <c r="D83" s="185"/>
      <c r="E83" s="185"/>
      <c r="F83" s="185"/>
      <c r="G83" s="185"/>
      <c r="H83" s="185"/>
      <c r="I83" s="185"/>
      <c r="J83" s="185"/>
      <c r="K83" s="185"/>
    </row>
    <row r="84" spans="2:11" ht="12.75" hidden="1">
      <c r="B84" s="185"/>
      <c r="C84" s="185"/>
      <c r="D84" s="185"/>
      <c r="E84" s="185"/>
      <c r="F84" s="185"/>
      <c r="G84" s="185"/>
      <c r="H84" s="185"/>
      <c r="I84" s="185"/>
      <c r="J84" s="185"/>
      <c r="K84" s="185"/>
    </row>
    <row r="85" spans="4:11" ht="12.75" hidden="1">
      <c r="D85" s="185"/>
      <c r="E85" s="185"/>
      <c r="F85" s="185"/>
      <c r="G85" s="185"/>
      <c r="H85" s="185"/>
      <c r="I85" s="185"/>
      <c r="J85" s="185"/>
      <c r="K85" s="185"/>
    </row>
    <row r="86" spans="4:11" ht="12.75" hidden="1">
      <c r="D86" s="185"/>
      <c r="E86" s="185"/>
      <c r="F86" s="185"/>
      <c r="G86" s="185"/>
      <c r="H86" s="185"/>
      <c r="I86" s="185"/>
      <c r="J86" s="185"/>
      <c r="K86" s="185"/>
    </row>
    <row r="87" spans="4:11" ht="12.75" hidden="1">
      <c r="D87" s="185"/>
      <c r="E87" s="185"/>
      <c r="F87" s="185"/>
      <c r="G87" s="185"/>
      <c r="H87" s="185"/>
      <c r="I87" s="185"/>
      <c r="J87" s="185"/>
      <c r="K87" s="185"/>
    </row>
    <row r="88" spans="4:11" ht="12.75" hidden="1">
      <c r="D88" s="185"/>
      <c r="E88" s="185"/>
      <c r="F88" s="185"/>
      <c r="G88" s="185"/>
      <c r="H88" s="185"/>
      <c r="I88" s="185"/>
      <c r="J88" s="185"/>
      <c r="K88" s="185"/>
    </row>
    <row r="89" spans="4:11" ht="12.75" hidden="1">
      <c r="D89" s="185"/>
      <c r="E89" s="185"/>
      <c r="F89" s="185"/>
      <c r="G89" s="185"/>
      <c r="H89" s="185"/>
      <c r="I89" s="185"/>
      <c r="J89" s="185"/>
      <c r="K89" s="185"/>
    </row>
    <row r="90" spans="4:11" ht="12.75" hidden="1">
      <c r="D90" s="185"/>
      <c r="E90" s="185"/>
      <c r="F90" s="185"/>
      <c r="G90" s="185"/>
      <c r="H90" s="185"/>
      <c r="I90" s="185"/>
      <c r="J90" s="185"/>
      <c r="K90" s="185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</sheetData>
  <sheetProtection/>
  <mergeCells count="14">
    <mergeCell ref="B3:K3"/>
    <mergeCell ref="D7:I7"/>
    <mergeCell ref="D8:E8"/>
    <mergeCell ref="B4:K4"/>
    <mergeCell ref="D23:E23"/>
    <mergeCell ref="T7:Y7"/>
    <mergeCell ref="D38:I38"/>
    <mergeCell ref="D39:E39"/>
    <mergeCell ref="B36:K36"/>
    <mergeCell ref="D44:E44"/>
    <mergeCell ref="D43:E43"/>
    <mergeCell ref="D42:E42"/>
    <mergeCell ref="D40:E40"/>
    <mergeCell ref="D41:E4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4.7109375" style="238" customWidth="1"/>
    <col min="2" max="2" width="5.140625" style="238" customWidth="1"/>
    <col min="3" max="3" width="3.57421875" style="238" customWidth="1"/>
    <col min="4" max="4" width="17.00390625" style="238" customWidth="1"/>
    <col min="5" max="5" width="22.7109375" style="238" customWidth="1"/>
    <col min="6" max="8" width="15.28125" style="238" customWidth="1"/>
    <col min="9" max="9" width="16.57421875" style="238" bestFit="1" customWidth="1"/>
    <col min="10" max="10" width="4.57421875" style="238" customWidth="1"/>
    <col min="11" max="11" width="4.28125" style="238" customWidth="1"/>
    <col min="12" max="12" width="4.57421875" style="238" customWidth="1"/>
    <col min="13" max="13" width="6.57421875" style="40" bestFit="1" customWidth="1"/>
    <col min="14" max="14" width="4.140625" style="238" customWidth="1"/>
    <col min="15" max="15" width="13.57421875" style="238" hidden="1" customWidth="1"/>
    <col min="16" max="16384" width="11.421875" style="238" hidden="1" customWidth="1"/>
  </cols>
  <sheetData>
    <row r="1" spans="1:12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Top="1">
      <c r="A2" s="39"/>
      <c r="B2" s="265"/>
      <c r="C2" s="266"/>
      <c r="D2" s="266"/>
      <c r="E2" s="266"/>
      <c r="F2" s="266"/>
      <c r="G2" s="266"/>
      <c r="H2" s="266"/>
      <c r="I2" s="266"/>
      <c r="J2" s="266"/>
      <c r="K2" s="267"/>
      <c r="L2" s="39"/>
    </row>
    <row r="3" spans="1:12" ht="12.75">
      <c r="A3" s="39"/>
      <c r="B3" s="273"/>
      <c r="C3" s="274"/>
      <c r="D3" s="274"/>
      <c r="E3" s="274"/>
      <c r="F3" s="274"/>
      <c r="G3" s="274"/>
      <c r="H3" s="274"/>
      <c r="I3" s="274"/>
      <c r="J3" s="274"/>
      <c r="K3" s="275"/>
      <c r="L3" s="39"/>
    </row>
    <row r="4" spans="1:12" ht="18.75" thickBot="1">
      <c r="A4" s="39"/>
      <c r="B4" s="561" t="s">
        <v>512</v>
      </c>
      <c r="C4" s="562"/>
      <c r="D4" s="562"/>
      <c r="E4" s="562"/>
      <c r="F4" s="562"/>
      <c r="G4" s="562"/>
      <c r="H4" s="562"/>
      <c r="I4" s="562"/>
      <c r="J4" s="562"/>
      <c r="K4" s="563"/>
      <c r="L4" s="39"/>
    </row>
    <row r="5" spans="1:12" ht="17.25" thickBot="1" thickTop="1">
      <c r="A5" s="39"/>
      <c r="B5" s="564" t="s">
        <v>49</v>
      </c>
      <c r="C5" s="565"/>
      <c r="D5" s="565"/>
      <c r="E5" s="565"/>
      <c r="F5" s="565"/>
      <c r="G5" s="565"/>
      <c r="H5" s="565"/>
      <c r="I5" s="565"/>
      <c r="J5" s="565"/>
      <c r="K5" s="566"/>
      <c r="L5" s="39"/>
    </row>
    <row r="6" spans="1:12" ht="13.5" customHeight="1" thickTop="1">
      <c r="A6" s="39"/>
      <c r="B6" s="288"/>
      <c r="C6" s="289"/>
      <c r="D6" s="289"/>
      <c r="E6" s="289"/>
      <c r="F6" s="289"/>
      <c r="G6" s="289"/>
      <c r="H6" s="289"/>
      <c r="I6" s="289"/>
      <c r="J6" s="289"/>
      <c r="K6" s="290"/>
      <c r="L6" s="39"/>
    </row>
    <row r="7" spans="1:12" ht="13.5" thickBot="1">
      <c r="A7" s="39"/>
      <c r="B7" s="273"/>
      <c r="C7" s="274"/>
      <c r="D7" s="274"/>
      <c r="E7" s="274"/>
      <c r="F7" s="274"/>
      <c r="G7" s="274"/>
      <c r="H7" s="274"/>
      <c r="I7" s="274"/>
      <c r="J7" s="274"/>
      <c r="K7" s="275"/>
      <c r="L7" s="39"/>
    </row>
    <row r="8" spans="1:12" ht="17.25" customHeight="1" thickBot="1">
      <c r="A8" s="39"/>
      <c r="B8" s="273"/>
      <c r="C8" s="274"/>
      <c r="D8" s="567" t="s">
        <v>513</v>
      </c>
      <c r="E8" s="568"/>
      <c r="F8" s="568"/>
      <c r="G8" s="568"/>
      <c r="H8" s="568"/>
      <c r="I8" s="569"/>
      <c r="J8" s="274"/>
      <c r="K8" s="275"/>
      <c r="L8" s="39"/>
    </row>
    <row r="9" spans="1:15" ht="23.25" thickBot="1">
      <c r="A9" s="39"/>
      <c r="B9" s="273"/>
      <c r="C9" s="274"/>
      <c r="D9" s="570" t="s">
        <v>25</v>
      </c>
      <c r="E9" s="571"/>
      <c r="F9" s="457" t="s">
        <v>87</v>
      </c>
      <c r="G9" s="470" t="s">
        <v>201</v>
      </c>
      <c r="H9" s="457" t="s">
        <v>74</v>
      </c>
      <c r="I9" s="470" t="s">
        <v>88</v>
      </c>
      <c r="J9" s="274"/>
      <c r="K9" s="275"/>
      <c r="L9" s="39"/>
      <c r="O9" s="332"/>
    </row>
    <row r="10" spans="1:15" s="445" customFormat="1" ht="12.75">
      <c r="A10" s="232"/>
      <c r="B10" s="440"/>
      <c r="C10" s="327"/>
      <c r="D10" s="447" t="s">
        <v>475</v>
      </c>
      <c r="E10" s="468"/>
      <c r="F10" s="300">
        <v>92819.83</v>
      </c>
      <c r="G10" s="471">
        <v>11.462100000000001</v>
      </c>
      <c r="H10" s="300">
        <v>685.8457570973789</v>
      </c>
      <c r="I10" s="466">
        <v>98.21684474992101</v>
      </c>
      <c r="J10" s="327"/>
      <c r="K10" s="441"/>
      <c r="L10" s="232"/>
      <c r="M10" s="498" t="s">
        <v>496</v>
      </c>
      <c r="N10" s="443"/>
      <c r="O10" s="444"/>
    </row>
    <row r="11" spans="1:15" s="445" customFormat="1" ht="12.75">
      <c r="A11" s="232"/>
      <c r="B11" s="440"/>
      <c r="C11" s="327"/>
      <c r="D11" s="447" t="s">
        <v>479</v>
      </c>
      <c r="E11" s="468"/>
      <c r="F11" s="300">
        <v>2581.8</v>
      </c>
      <c r="G11" s="471">
        <v>8.5088</v>
      </c>
      <c r="H11" s="300">
        <v>1447.3459446897511</v>
      </c>
      <c r="I11" s="466">
        <v>99.9984181948408</v>
      </c>
      <c r="J11" s="327"/>
      <c r="K11" s="441"/>
      <c r="L11" s="232"/>
      <c r="M11" s="498" t="s">
        <v>480</v>
      </c>
      <c r="N11" s="443"/>
      <c r="O11" s="444"/>
    </row>
    <row r="12" spans="1:15" s="445" customFormat="1" ht="12.75">
      <c r="A12" s="232"/>
      <c r="B12" s="440"/>
      <c r="C12" s="327"/>
      <c r="D12" s="447" t="s">
        <v>462</v>
      </c>
      <c r="E12" s="468"/>
      <c r="F12" s="300">
        <v>950.08</v>
      </c>
      <c r="G12" s="471">
        <v>8.7748</v>
      </c>
      <c r="H12" s="300">
        <v>295</v>
      </c>
      <c r="I12" s="466">
        <v>99.995511</v>
      </c>
      <c r="J12" s="327"/>
      <c r="K12" s="441"/>
      <c r="L12" s="232"/>
      <c r="M12" s="498" t="s">
        <v>463</v>
      </c>
      <c r="N12" s="443"/>
      <c r="O12" s="444"/>
    </row>
    <row r="13" spans="1:15" s="445" customFormat="1" ht="12.75">
      <c r="A13" s="232"/>
      <c r="B13" s="440"/>
      <c r="C13" s="327"/>
      <c r="D13" s="447" t="s">
        <v>473</v>
      </c>
      <c r="E13" s="468"/>
      <c r="F13" s="300">
        <v>150831.81</v>
      </c>
      <c r="G13" s="471">
        <v>7.7136</v>
      </c>
      <c r="H13" s="300">
        <v>228</v>
      </c>
      <c r="I13" s="466">
        <v>100.554539</v>
      </c>
      <c r="J13" s="327"/>
      <c r="K13" s="441"/>
      <c r="L13" s="232"/>
      <c r="M13" s="498" t="s">
        <v>474</v>
      </c>
      <c r="N13" s="443"/>
      <c r="O13" s="444"/>
    </row>
    <row r="14" spans="1:15" s="445" customFormat="1" ht="12.75">
      <c r="A14" s="232"/>
      <c r="B14" s="440"/>
      <c r="C14" s="327"/>
      <c r="D14" s="447" t="s">
        <v>486</v>
      </c>
      <c r="E14" s="468"/>
      <c r="F14" s="300">
        <v>1193750.92</v>
      </c>
      <c r="G14" s="471">
        <v>10.2524</v>
      </c>
      <c r="H14" s="300">
        <v>981.1613552180552</v>
      </c>
      <c r="I14" s="466">
        <v>99.06646680522209</v>
      </c>
      <c r="J14" s="327"/>
      <c r="K14" s="441"/>
      <c r="L14" s="232"/>
      <c r="M14" s="498" t="s">
        <v>487</v>
      </c>
      <c r="N14" s="443"/>
      <c r="O14" s="444"/>
    </row>
    <row r="15" spans="1:15" s="445" customFormat="1" ht="12.75">
      <c r="A15" s="232"/>
      <c r="B15" s="440"/>
      <c r="C15" s="327"/>
      <c r="D15" s="447" t="s">
        <v>499</v>
      </c>
      <c r="E15" s="468"/>
      <c r="F15" s="300">
        <v>127713.68000000002</v>
      </c>
      <c r="G15" s="471">
        <v>9.308299999999997</v>
      </c>
      <c r="H15" s="300">
        <v>1709.9999999999995</v>
      </c>
      <c r="I15" s="466">
        <v>98.86245599999997</v>
      </c>
      <c r="J15" s="327"/>
      <c r="K15" s="441"/>
      <c r="L15" s="232"/>
      <c r="M15" s="498" t="s">
        <v>500</v>
      </c>
      <c r="N15" s="443"/>
      <c r="O15" s="444"/>
    </row>
    <row r="16" spans="1:15" s="445" customFormat="1" ht="12.75">
      <c r="A16" s="232"/>
      <c r="B16" s="440"/>
      <c r="C16" s="327"/>
      <c r="D16" s="447" t="s">
        <v>477</v>
      </c>
      <c r="E16" s="468"/>
      <c r="F16" s="300">
        <v>1047212.8500000001</v>
      </c>
      <c r="G16" s="471">
        <v>11.453014324524379</v>
      </c>
      <c r="H16" s="300">
        <v>1008.2920195545727</v>
      </c>
      <c r="I16" s="466">
        <v>97.46359012580592</v>
      </c>
      <c r="J16" s="327"/>
      <c r="K16" s="441"/>
      <c r="L16" s="232"/>
      <c r="M16" s="498" t="s">
        <v>478</v>
      </c>
      <c r="N16" s="443"/>
      <c r="O16" s="444"/>
    </row>
    <row r="17" spans="1:15" s="445" customFormat="1" ht="13.5" thickBot="1">
      <c r="A17" s="232"/>
      <c r="B17" s="440"/>
      <c r="C17" s="327"/>
      <c r="D17" s="447" t="s">
        <v>471</v>
      </c>
      <c r="E17" s="468"/>
      <c r="F17" s="300">
        <v>2991.4399999999996</v>
      </c>
      <c r="G17" s="471">
        <v>8.508093831733213</v>
      </c>
      <c r="H17" s="300">
        <v>881.6877791297837</v>
      </c>
      <c r="I17" s="466">
        <v>99.99740970911002</v>
      </c>
      <c r="J17" s="327"/>
      <c r="K17" s="441"/>
      <c r="L17" s="232"/>
      <c r="M17" s="498" t="s">
        <v>472</v>
      </c>
      <c r="N17" s="443"/>
      <c r="O17" s="444"/>
    </row>
    <row r="18" spans="1:15" ht="13.5" thickBot="1">
      <c r="A18" s="39"/>
      <c r="B18" s="273"/>
      <c r="C18" s="274"/>
      <c r="D18" s="336" t="s">
        <v>11</v>
      </c>
      <c r="E18" s="469"/>
      <c r="F18" s="344">
        <v>2618852.4099999997</v>
      </c>
      <c r="G18" s="472">
        <v>10.578860993820955</v>
      </c>
      <c r="H18" s="473">
        <v>973.8056637563626</v>
      </c>
      <c r="I18" s="472">
        <v>98.47347900096237</v>
      </c>
      <c r="J18" s="274"/>
      <c r="K18" s="275"/>
      <c r="L18" s="39"/>
      <c r="M18" s="498"/>
      <c r="N18" s="335"/>
      <c r="O18" s="332"/>
    </row>
    <row r="19" spans="1:15" ht="12.75">
      <c r="A19" s="39"/>
      <c r="B19" s="273"/>
      <c r="C19" s="274"/>
      <c r="D19" s="572"/>
      <c r="E19" s="572"/>
      <c r="F19" s="310"/>
      <c r="G19" s="310"/>
      <c r="H19" s="310"/>
      <c r="I19" s="310"/>
      <c r="J19" s="274"/>
      <c r="K19" s="275"/>
      <c r="L19" s="39"/>
      <c r="N19" s="335"/>
      <c r="O19" s="332"/>
    </row>
    <row r="20" spans="1:15" ht="12.75">
      <c r="A20" s="39"/>
      <c r="B20" s="273"/>
      <c r="C20" s="274"/>
      <c r="D20" s="560"/>
      <c r="E20" s="560"/>
      <c r="F20" s="300"/>
      <c r="G20" s="301"/>
      <c r="H20" s="338"/>
      <c r="I20" s="339"/>
      <c r="J20" s="274"/>
      <c r="K20" s="275"/>
      <c r="L20" s="39"/>
      <c r="N20" s="335"/>
      <c r="O20" s="332"/>
    </row>
    <row r="21" spans="1:15" ht="12.75">
      <c r="A21" s="39"/>
      <c r="B21" s="273"/>
      <c r="C21" s="274"/>
      <c r="D21" s="560"/>
      <c r="E21" s="560"/>
      <c r="F21" s="300"/>
      <c r="G21" s="301"/>
      <c r="H21" s="338"/>
      <c r="I21" s="339"/>
      <c r="J21" s="274"/>
      <c r="K21" s="275"/>
      <c r="L21" s="39"/>
      <c r="N21" s="335"/>
      <c r="O21" s="332"/>
    </row>
    <row r="22" spans="1:15" ht="12.75">
      <c r="A22" s="39"/>
      <c r="B22" s="273"/>
      <c r="C22" s="274"/>
      <c r="D22" s="560"/>
      <c r="E22" s="560"/>
      <c r="F22" s="300"/>
      <c r="G22" s="301"/>
      <c r="H22" s="338"/>
      <c r="I22" s="339"/>
      <c r="J22" s="274"/>
      <c r="K22" s="275"/>
      <c r="L22" s="39"/>
      <c r="N22" s="335"/>
      <c r="O22" s="332"/>
    </row>
    <row r="23" spans="1:15" ht="12.75">
      <c r="A23" s="39"/>
      <c r="B23" s="273"/>
      <c r="C23" s="274"/>
      <c r="D23" s="318"/>
      <c r="E23" s="318"/>
      <c r="F23" s="300"/>
      <c r="G23" s="301"/>
      <c r="H23" s="338"/>
      <c r="I23" s="339"/>
      <c r="J23" s="274"/>
      <c r="K23" s="275"/>
      <c r="L23" s="39"/>
      <c r="N23" s="335"/>
      <c r="O23" s="332"/>
    </row>
    <row r="24" spans="1:15" ht="12.75">
      <c r="A24" s="39"/>
      <c r="B24" s="273"/>
      <c r="C24" s="274"/>
      <c r="D24" s="318"/>
      <c r="E24" s="318"/>
      <c r="F24" s="300"/>
      <c r="G24" s="301"/>
      <c r="H24" s="338"/>
      <c r="I24" s="339"/>
      <c r="J24" s="274"/>
      <c r="K24" s="275"/>
      <c r="L24" s="39"/>
      <c r="N24" s="335"/>
      <c r="O24" s="332"/>
    </row>
    <row r="25" spans="1:14" ht="12.75">
      <c r="A25" s="39"/>
      <c r="B25" s="273"/>
      <c r="C25" s="274"/>
      <c r="D25" s="560"/>
      <c r="E25" s="560"/>
      <c r="F25" s="300"/>
      <c r="G25" s="301"/>
      <c r="H25" s="338"/>
      <c r="I25" s="339"/>
      <c r="J25" s="274"/>
      <c r="K25" s="275"/>
      <c r="L25" s="39"/>
      <c r="N25" s="335"/>
    </row>
    <row r="26" spans="1:14" ht="12.75">
      <c r="A26" s="39"/>
      <c r="B26" s="273"/>
      <c r="C26" s="274"/>
      <c r="D26" s="560"/>
      <c r="E26" s="560"/>
      <c r="F26" s="300"/>
      <c r="G26" s="301"/>
      <c r="H26" s="338"/>
      <c r="I26" s="339"/>
      <c r="J26" s="274"/>
      <c r="K26" s="275"/>
      <c r="L26" s="39"/>
      <c r="N26" s="335"/>
    </row>
    <row r="27" spans="1:14" ht="12.75">
      <c r="A27" s="39"/>
      <c r="B27" s="273"/>
      <c r="C27" s="274"/>
      <c r="D27" s="560"/>
      <c r="E27" s="560"/>
      <c r="F27" s="300"/>
      <c r="G27" s="302"/>
      <c r="H27" s="338"/>
      <c r="I27" s="339"/>
      <c r="J27" s="274"/>
      <c r="K27" s="275"/>
      <c r="L27" s="39"/>
      <c r="N27" s="335"/>
    </row>
    <row r="28" spans="1:14" ht="12.75">
      <c r="A28" s="39"/>
      <c r="B28" s="273"/>
      <c r="C28" s="274"/>
      <c r="D28" s="573"/>
      <c r="E28" s="573"/>
      <c r="F28" s="300"/>
      <c r="G28" s="302"/>
      <c r="H28" s="338"/>
      <c r="I28" s="339"/>
      <c r="J28" s="274"/>
      <c r="K28" s="275"/>
      <c r="L28" s="39"/>
      <c r="N28" s="335"/>
    </row>
    <row r="29" spans="1:14" ht="12.75">
      <c r="A29" s="39"/>
      <c r="B29" s="273"/>
      <c r="C29" s="274"/>
      <c r="D29" s="307"/>
      <c r="E29" s="307"/>
      <c r="F29" s="300"/>
      <c r="G29" s="302"/>
      <c r="H29" s="338"/>
      <c r="I29" s="339"/>
      <c r="J29" s="274"/>
      <c r="K29" s="275"/>
      <c r="L29" s="39"/>
      <c r="N29" s="335"/>
    </row>
    <row r="30" spans="1:14" ht="12.75">
      <c r="A30" s="39"/>
      <c r="B30" s="273"/>
      <c r="C30" s="274"/>
      <c r="D30" s="307"/>
      <c r="E30" s="307"/>
      <c r="F30" s="300"/>
      <c r="G30" s="302"/>
      <c r="H30" s="338"/>
      <c r="I30" s="339"/>
      <c r="J30" s="274"/>
      <c r="K30" s="275"/>
      <c r="L30" s="39"/>
      <c r="N30" s="335"/>
    </row>
    <row r="31" spans="1:14" ht="12.75">
      <c r="A31" s="39"/>
      <c r="B31" s="273"/>
      <c r="C31" s="274"/>
      <c r="D31" s="294"/>
      <c r="E31" s="294"/>
      <c r="F31" s="300"/>
      <c r="G31" s="300"/>
      <c r="H31" s="300"/>
      <c r="I31" s="300"/>
      <c r="J31" s="274"/>
      <c r="K31" s="275"/>
      <c r="L31" s="39"/>
      <c r="N31" s="335"/>
    </row>
    <row r="32" spans="1:14" ht="12.75">
      <c r="A32" s="39"/>
      <c r="B32" s="273"/>
      <c r="C32" s="274"/>
      <c r="D32" s="294"/>
      <c r="E32" s="294"/>
      <c r="F32" s="300"/>
      <c r="G32" s="300"/>
      <c r="H32" s="300"/>
      <c r="I32" s="300"/>
      <c r="J32" s="274"/>
      <c r="K32" s="275"/>
      <c r="L32" s="39"/>
      <c r="N32" s="335"/>
    </row>
    <row r="33" spans="1:12" ht="16.5" thickBot="1">
      <c r="A33" s="39"/>
      <c r="B33" s="564" t="s">
        <v>48</v>
      </c>
      <c r="C33" s="565"/>
      <c r="D33" s="565"/>
      <c r="E33" s="565"/>
      <c r="F33" s="565"/>
      <c r="G33" s="565"/>
      <c r="H33" s="565"/>
      <c r="I33" s="565"/>
      <c r="J33" s="565"/>
      <c r="K33" s="566"/>
      <c r="L33" s="39"/>
    </row>
    <row r="34" spans="1:14" ht="15" customHeight="1" thickTop="1">
      <c r="A34" s="39"/>
      <c r="B34" s="288"/>
      <c r="C34" s="289"/>
      <c r="J34" s="274"/>
      <c r="K34" s="275"/>
      <c r="L34" s="39"/>
      <c r="N34" s="335"/>
    </row>
    <row r="35" spans="1:14" ht="16.5" thickBot="1">
      <c r="A35" s="39"/>
      <c r="B35" s="288"/>
      <c r="C35" s="289"/>
      <c r="D35" s="289"/>
      <c r="E35" s="289"/>
      <c r="F35" s="289"/>
      <c r="G35" s="289"/>
      <c r="H35" s="289"/>
      <c r="I35" s="289"/>
      <c r="J35" s="289"/>
      <c r="K35" s="290"/>
      <c r="L35" s="39"/>
      <c r="N35" s="335"/>
    </row>
    <row r="36" spans="1:14" ht="13.5" thickBot="1">
      <c r="A36" s="39"/>
      <c r="B36" s="273"/>
      <c r="C36" s="274"/>
      <c r="D36" s="567" t="s">
        <v>514</v>
      </c>
      <c r="E36" s="568"/>
      <c r="F36" s="568"/>
      <c r="G36" s="568"/>
      <c r="H36" s="568"/>
      <c r="I36" s="569"/>
      <c r="J36" s="274"/>
      <c r="K36" s="275"/>
      <c r="L36" s="39"/>
      <c r="N36" s="341"/>
    </row>
    <row r="37" spans="1:14" ht="22.5">
      <c r="A37" s="39"/>
      <c r="B37" s="273"/>
      <c r="C37" s="274"/>
      <c r="D37" s="574" t="s">
        <v>26</v>
      </c>
      <c r="E37" s="575"/>
      <c r="F37" s="414" t="s">
        <v>87</v>
      </c>
      <c r="G37" s="415" t="s">
        <v>201</v>
      </c>
      <c r="H37" s="414" t="s">
        <v>74</v>
      </c>
      <c r="I37" s="416" t="s">
        <v>88</v>
      </c>
      <c r="J37" s="327"/>
      <c r="K37" s="441"/>
      <c r="L37" s="232"/>
      <c r="M37" s="442"/>
      <c r="N37" s="446"/>
    </row>
    <row r="38" spans="1:14" ht="12.75">
      <c r="A38" s="39"/>
      <c r="B38" s="273"/>
      <c r="C38" s="274"/>
      <c r="D38" s="497" t="s">
        <v>69</v>
      </c>
      <c r="E38" s="450"/>
      <c r="F38" s="451">
        <v>243651.64</v>
      </c>
      <c r="G38" s="452">
        <v>9.141602424916982</v>
      </c>
      <c r="H38" s="451">
        <v>402.41772745711864</v>
      </c>
      <c r="I38" s="453">
        <v>99.66398729723161</v>
      </c>
      <c r="J38" s="274"/>
      <c r="K38" s="275"/>
      <c r="L38" s="39"/>
      <c r="N38" s="341"/>
    </row>
    <row r="39" spans="1:14" ht="13.5" thickBot="1">
      <c r="A39" s="39"/>
      <c r="B39" s="273"/>
      <c r="C39" s="274"/>
      <c r="D39" s="497" t="s">
        <v>23</v>
      </c>
      <c r="E39" s="450"/>
      <c r="F39" s="451">
        <v>2375200.7699999996</v>
      </c>
      <c r="G39" s="452">
        <v>10.726297122943423</v>
      </c>
      <c r="H39" s="451">
        <v>1032.419491064749</v>
      </c>
      <c r="I39" s="453">
        <v>98.35135488308431</v>
      </c>
      <c r="J39" s="274"/>
      <c r="K39" s="275"/>
      <c r="L39" s="39"/>
      <c r="N39" s="341"/>
    </row>
    <row r="40" spans="1:14" ht="13.5" hidden="1" thickBot="1">
      <c r="A40" s="39"/>
      <c r="B40" s="273"/>
      <c r="C40" s="274"/>
      <c r="D40" s="497" t="s">
        <v>32</v>
      </c>
      <c r="E40" s="450"/>
      <c r="F40" s="451">
        <v>2618852.4099999997</v>
      </c>
      <c r="G40" s="452">
        <v>10.578860993820955</v>
      </c>
      <c r="H40" s="451">
        <v>973.8056637563626</v>
      </c>
      <c r="I40" s="453">
        <v>98.47347900096239</v>
      </c>
      <c r="J40" s="274"/>
      <c r="K40" s="275"/>
      <c r="L40" s="39"/>
      <c r="N40" s="341"/>
    </row>
    <row r="41" spans="1:14" ht="13.5" thickBot="1">
      <c r="A41" s="39"/>
      <c r="B41" s="273"/>
      <c r="C41" s="274"/>
      <c r="D41" s="342" t="s">
        <v>11</v>
      </c>
      <c r="E41" s="343"/>
      <c r="F41" s="344">
        <v>2618852.4099999997</v>
      </c>
      <c r="G41" s="448">
        <v>10.578860993820955</v>
      </c>
      <c r="H41" s="344">
        <v>973.8056637563626</v>
      </c>
      <c r="I41" s="345">
        <v>98.47347900096239</v>
      </c>
      <c r="J41" s="274"/>
      <c r="K41" s="275"/>
      <c r="L41" s="39"/>
      <c r="N41" s="341"/>
    </row>
    <row r="42" spans="1:12" ht="12.75">
      <c r="A42" s="39"/>
      <c r="B42" s="273"/>
      <c r="C42" s="346"/>
      <c r="D42" s="318"/>
      <c r="E42" s="318"/>
      <c r="F42" s="300"/>
      <c r="G42" s="301"/>
      <c r="H42" s="338"/>
      <c r="I42" s="339"/>
      <c r="J42" s="317"/>
      <c r="K42" s="275"/>
      <c r="L42" s="39"/>
    </row>
    <row r="43" spans="1:12" ht="12.75">
      <c r="A43" s="39"/>
      <c r="B43" s="273"/>
      <c r="C43" s="346"/>
      <c r="D43" s="318"/>
      <c r="E43" s="318"/>
      <c r="F43" s="300"/>
      <c r="G43" s="301"/>
      <c r="H43" s="338"/>
      <c r="I43" s="339"/>
      <c r="J43" s="317"/>
      <c r="K43" s="275"/>
      <c r="L43" s="39"/>
    </row>
    <row r="44" spans="1:12" ht="12.75">
      <c r="A44" s="39"/>
      <c r="B44" s="273"/>
      <c r="C44" s="346"/>
      <c r="D44" s="318"/>
      <c r="E44" s="318"/>
      <c r="F44" s="300"/>
      <c r="G44" s="301"/>
      <c r="H44" s="338"/>
      <c r="I44" s="339"/>
      <c r="J44" s="317"/>
      <c r="K44" s="275"/>
      <c r="L44" s="39"/>
    </row>
    <row r="45" spans="1:12" ht="12.75">
      <c r="A45" s="39"/>
      <c r="B45" s="273"/>
      <c r="C45" s="346"/>
      <c r="D45" s="560"/>
      <c r="E45" s="560"/>
      <c r="F45" s="300"/>
      <c r="G45" s="301"/>
      <c r="H45" s="338"/>
      <c r="I45" s="339"/>
      <c r="J45" s="317"/>
      <c r="K45" s="275"/>
      <c r="L45" s="39"/>
    </row>
    <row r="46" spans="1:12" ht="12.75">
      <c r="A46" s="39"/>
      <c r="B46" s="273"/>
      <c r="C46" s="346"/>
      <c r="D46" s="573"/>
      <c r="E46" s="573"/>
      <c r="F46" s="300"/>
      <c r="G46" s="301"/>
      <c r="H46" s="338"/>
      <c r="I46" s="339"/>
      <c r="J46" s="317"/>
      <c r="K46" s="275"/>
      <c r="L46" s="39"/>
    </row>
    <row r="47" spans="1:12" ht="12.75">
      <c r="A47" s="39"/>
      <c r="B47" s="273"/>
      <c r="C47" s="346"/>
      <c r="D47" s="274"/>
      <c r="E47" s="274"/>
      <c r="F47" s="274"/>
      <c r="G47" s="274"/>
      <c r="H47" s="274"/>
      <c r="I47" s="274"/>
      <c r="J47" s="317"/>
      <c r="K47" s="275"/>
      <c r="L47" s="39"/>
    </row>
    <row r="48" spans="1:12" ht="12.75">
      <c r="A48" s="39"/>
      <c r="B48" s="273"/>
      <c r="C48" s="346"/>
      <c r="D48" s="274"/>
      <c r="E48" s="274"/>
      <c r="F48" s="274"/>
      <c r="G48" s="274"/>
      <c r="H48" s="274"/>
      <c r="I48" s="274"/>
      <c r="J48" s="317"/>
      <c r="K48" s="275"/>
      <c r="L48" s="39"/>
    </row>
    <row r="49" spans="1:12" ht="12.75">
      <c r="A49" s="39"/>
      <c r="B49" s="273"/>
      <c r="C49" s="346"/>
      <c r="D49" s="274"/>
      <c r="E49" s="274"/>
      <c r="F49" s="274"/>
      <c r="G49" s="274"/>
      <c r="H49" s="274"/>
      <c r="I49" s="274"/>
      <c r="J49" s="317"/>
      <c r="K49" s="275"/>
      <c r="L49" s="39"/>
    </row>
    <row r="50" spans="1:12" ht="12.75">
      <c r="A50" s="39"/>
      <c r="B50" s="273"/>
      <c r="C50" s="317"/>
      <c r="D50" s="274"/>
      <c r="E50" s="274"/>
      <c r="F50" s="274"/>
      <c r="G50" s="274"/>
      <c r="H50" s="274"/>
      <c r="I50" s="274"/>
      <c r="J50" s="317"/>
      <c r="K50" s="275"/>
      <c r="L50" s="39"/>
    </row>
    <row r="51" spans="1:12" ht="12.75">
      <c r="A51" s="39"/>
      <c r="B51" s="273"/>
      <c r="C51" s="274"/>
      <c r="D51" s="274"/>
      <c r="E51" s="274"/>
      <c r="F51" s="274"/>
      <c r="G51" s="274"/>
      <c r="H51" s="274"/>
      <c r="I51" s="274"/>
      <c r="J51" s="274"/>
      <c r="K51" s="275"/>
      <c r="L51" s="39"/>
    </row>
    <row r="52" spans="1:12" ht="13.5" thickBot="1">
      <c r="A52" s="39"/>
      <c r="B52" s="273"/>
      <c r="C52" s="274"/>
      <c r="D52" s="284"/>
      <c r="E52" s="284"/>
      <c r="F52" s="284"/>
      <c r="G52" s="284"/>
      <c r="H52" s="284"/>
      <c r="I52" s="284"/>
      <c r="J52" s="274"/>
      <c r="K52" s="275"/>
      <c r="L52" s="39"/>
    </row>
    <row r="53" spans="1:12" ht="14.25" thickBot="1" thickTop="1">
      <c r="A53" s="39"/>
      <c r="B53" s="283"/>
      <c r="C53" s="284"/>
      <c r="D53" s="39"/>
      <c r="E53" s="39"/>
      <c r="F53" s="39"/>
      <c r="G53" s="39"/>
      <c r="H53" s="39"/>
      <c r="I53" s="39"/>
      <c r="J53" s="284"/>
      <c r="K53" s="285"/>
      <c r="L53" s="39"/>
    </row>
    <row r="54" spans="1:12" ht="13.5" thickTop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ht="12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1:12" ht="39.75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2" ht="12.75" hidden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1:12" ht="12.75" hidden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1:12" ht="12.75" hidden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1:12" ht="12.75" hidden="1">
      <c r="A60" s="39"/>
      <c r="B60" s="39"/>
      <c r="C60" s="39"/>
      <c r="J60" s="39"/>
      <c r="K60" s="39"/>
      <c r="L60" s="39"/>
    </row>
    <row r="61" spans="1:12" ht="12.75" hidden="1">
      <c r="A61" s="39"/>
      <c r="L61" s="39"/>
    </row>
    <row r="62" spans="1:12" ht="12.75" hidden="1">
      <c r="A62" s="39"/>
      <c r="L62" s="39"/>
    </row>
    <row r="63" spans="1:12" ht="12.75" hidden="1">
      <c r="A63" s="39"/>
      <c r="L63" s="39"/>
    </row>
    <row r="64" spans="1:12" ht="12.75" hidden="1">
      <c r="A64" s="39"/>
      <c r="L64" s="39"/>
    </row>
    <row r="65" spans="1:13" ht="12.75" hidden="1">
      <c r="A65" s="39"/>
      <c r="L65" s="39"/>
      <c r="M65" s="39"/>
    </row>
    <row r="66" spans="1:13" ht="12.75" hidden="1">
      <c r="A66" s="39"/>
      <c r="L66" s="39"/>
      <c r="M66" s="39"/>
    </row>
    <row r="67" spans="1:13" ht="12.75" customHeight="1" hidden="1">
      <c r="A67" s="39"/>
      <c r="L67" s="39"/>
      <c r="M67" s="39"/>
    </row>
    <row r="68" spans="1:13" ht="12.75" hidden="1">
      <c r="A68" s="39"/>
      <c r="L68" s="39"/>
      <c r="M68" s="39"/>
    </row>
    <row r="69" spans="1:13" ht="12.75" hidden="1">
      <c r="A69" s="39"/>
      <c r="L69" s="39"/>
      <c r="M69" s="39"/>
    </row>
    <row r="70" spans="1:13" ht="12.75" hidden="1">
      <c r="A70" s="39"/>
      <c r="M70" s="39"/>
    </row>
    <row r="71" spans="1:13" ht="12.75" hidden="1">
      <c r="A71" s="39"/>
      <c r="M71" s="39"/>
    </row>
    <row r="72" spans="1:13" ht="12.75" hidden="1">
      <c r="A72" s="39"/>
      <c r="M72" s="39"/>
    </row>
    <row r="73" spans="1:13" ht="12.75" hidden="1">
      <c r="A73" s="39"/>
      <c r="M73" s="39"/>
    </row>
    <row r="74" spans="1:13" ht="12.75" hidden="1">
      <c r="A74" s="39"/>
      <c r="M74" s="39"/>
    </row>
    <row r="75" spans="1:13" ht="12.75" hidden="1">
      <c r="A75" s="39"/>
      <c r="M75" s="39"/>
    </row>
    <row r="76" spans="1:13" ht="12.75" hidden="1">
      <c r="A76" s="39"/>
      <c r="M76" s="39"/>
    </row>
    <row r="77" spans="1:13" ht="12.75" hidden="1">
      <c r="A77" s="39"/>
      <c r="M77" s="39"/>
    </row>
    <row r="78" spans="1:13" ht="12.75" hidden="1">
      <c r="A78" s="39"/>
      <c r="M78" s="39"/>
    </row>
    <row r="79" spans="1:13" ht="12.75" hidden="1">
      <c r="A79" s="39"/>
      <c r="M79" s="39"/>
    </row>
    <row r="80" spans="1:13" ht="12.75" hidden="1">
      <c r="A80" s="39"/>
      <c r="M80" s="39"/>
    </row>
    <row r="81" ht="12.75" hidden="1">
      <c r="M81" s="39"/>
    </row>
    <row r="82" ht="12.75" hidden="1">
      <c r="M82" s="39"/>
    </row>
    <row r="83" ht="12.75" hidden="1">
      <c r="M83" s="39"/>
    </row>
    <row r="84" ht="12.75" hidden="1">
      <c r="M84" s="39"/>
    </row>
    <row r="85" ht="12.75" hidden="1">
      <c r="M85" s="39"/>
    </row>
    <row r="86" ht="12.75" hidden="1">
      <c r="M86" s="39"/>
    </row>
    <row r="87" ht="12.75" hidden="1">
      <c r="M87" s="39"/>
    </row>
    <row r="88" ht="12.75" hidden="1">
      <c r="M88" s="39"/>
    </row>
    <row r="89" ht="12.75" hidden="1">
      <c r="M89" s="39"/>
    </row>
    <row r="90" ht="12.75" hidden="1">
      <c r="M90" s="39"/>
    </row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</sheetData>
  <sheetProtection/>
  <mergeCells count="17">
    <mergeCell ref="D27:E27"/>
    <mergeCell ref="D28:E28"/>
    <mergeCell ref="D46:E46"/>
    <mergeCell ref="D37:E37"/>
    <mergeCell ref="D45:E45"/>
    <mergeCell ref="D36:I36"/>
    <mergeCell ref="B33:K33"/>
    <mergeCell ref="D26:E26"/>
    <mergeCell ref="B4:K4"/>
    <mergeCell ref="B5:K5"/>
    <mergeCell ref="D8:I8"/>
    <mergeCell ref="D9:E9"/>
    <mergeCell ref="D19:E19"/>
    <mergeCell ref="D20:E20"/>
    <mergeCell ref="D21:E21"/>
    <mergeCell ref="D25:E25"/>
    <mergeCell ref="D22:E2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4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11.421875" defaultRowHeight="12.75" zeroHeight="1"/>
  <cols>
    <col min="1" max="1" width="3.00390625" style="238" customWidth="1"/>
    <col min="2" max="2" width="6.28125" style="238" customWidth="1"/>
    <col min="3" max="3" width="6.00390625" style="238" customWidth="1"/>
    <col min="4" max="4" width="14.00390625" style="238" customWidth="1"/>
    <col min="5" max="5" width="19.00390625" style="238" customWidth="1"/>
    <col min="6" max="6" width="18.28125" style="238" customWidth="1"/>
    <col min="7" max="7" width="16.140625" style="238" customWidth="1"/>
    <col min="8" max="8" width="17.8515625" style="238" customWidth="1"/>
    <col min="9" max="9" width="15.57421875" style="238" customWidth="1"/>
    <col min="10" max="10" width="6.00390625" style="238" customWidth="1"/>
    <col min="11" max="11" width="5.28125" style="238" customWidth="1"/>
    <col min="12" max="12" width="3.28125" style="238" customWidth="1"/>
    <col min="13" max="13" width="4.28125" style="39" customWidth="1"/>
    <col min="14" max="14" width="3.7109375" style="269" customWidth="1"/>
    <col min="15" max="16384" width="11.421875" style="269" customWidth="1"/>
  </cols>
  <sheetData>
    <row r="1" spans="1:15" ht="13.5" thickBot="1">
      <c r="A1" s="39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39"/>
      <c r="O1" s="269" t="s">
        <v>51</v>
      </c>
    </row>
    <row r="2" spans="1:12" ht="16.5" thickTop="1">
      <c r="A2" s="39"/>
      <c r="B2" s="602"/>
      <c r="C2" s="603"/>
      <c r="D2" s="603"/>
      <c r="E2" s="603"/>
      <c r="F2" s="603"/>
      <c r="G2" s="603"/>
      <c r="H2" s="603"/>
      <c r="I2" s="603"/>
      <c r="J2" s="603"/>
      <c r="K2" s="604"/>
      <c r="L2" s="39"/>
    </row>
    <row r="3" spans="1:12" ht="16.5" thickBot="1">
      <c r="A3" s="39"/>
      <c r="B3" s="594" t="s">
        <v>506</v>
      </c>
      <c r="C3" s="595"/>
      <c r="D3" s="595"/>
      <c r="E3" s="595"/>
      <c r="F3" s="595"/>
      <c r="G3" s="595"/>
      <c r="H3" s="595"/>
      <c r="I3" s="595"/>
      <c r="J3" s="595"/>
      <c r="K3" s="596"/>
      <c r="L3" s="39"/>
    </row>
    <row r="4" spans="1:12" ht="16.5" thickTop="1">
      <c r="A4" s="39"/>
      <c r="B4" s="288"/>
      <c r="C4" s="289"/>
      <c r="D4" s="289"/>
      <c r="E4" s="289"/>
      <c r="F4" s="289"/>
      <c r="G4" s="289"/>
      <c r="H4" s="289"/>
      <c r="I4" s="289"/>
      <c r="J4" s="289"/>
      <c r="K4" s="290"/>
      <c r="L4" s="39"/>
    </row>
    <row r="5" spans="1:12" ht="13.5" thickBot="1">
      <c r="A5" s="39"/>
      <c r="B5" s="273"/>
      <c r="C5" s="274"/>
      <c r="D5" s="274"/>
      <c r="E5" s="274"/>
      <c r="F5" s="274"/>
      <c r="G5" s="274"/>
      <c r="H5" s="274"/>
      <c r="I5" s="274"/>
      <c r="J5" s="274"/>
      <c r="K5" s="275"/>
      <c r="L5" s="39"/>
    </row>
    <row r="6" spans="1:12" ht="15" customHeight="1" thickBot="1">
      <c r="A6" s="39"/>
      <c r="B6" s="273"/>
      <c r="C6" s="274"/>
      <c r="D6" s="605" t="s">
        <v>46</v>
      </c>
      <c r="E6" s="606"/>
      <c r="F6" s="598">
        <v>45327</v>
      </c>
      <c r="G6" s="599"/>
      <c r="H6" s="600">
        <v>45352</v>
      </c>
      <c r="I6" s="601"/>
      <c r="J6" s="274"/>
      <c r="K6" s="275"/>
      <c r="L6" s="39"/>
    </row>
    <row r="7" spans="1:12" ht="36" customHeight="1" thickBot="1">
      <c r="A7" s="39"/>
      <c r="B7" s="273"/>
      <c r="C7" s="274"/>
      <c r="D7" s="607"/>
      <c r="E7" s="608"/>
      <c r="F7" s="417" t="s">
        <v>89</v>
      </c>
      <c r="G7" s="418" t="s">
        <v>201</v>
      </c>
      <c r="H7" s="419" t="s">
        <v>454</v>
      </c>
      <c r="I7" s="420" t="s">
        <v>201</v>
      </c>
      <c r="J7" s="274"/>
      <c r="K7" s="275"/>
      <c r="L7" s="39"/>
    </row>
    <row r="8" spans="1:17" ht="24" customHeight="1" thickBot="1">
      <c r="A8" s="39"/>
      <c r="B8" s="273"/>
      <c r="C8" s="274"/>
      <c r="D8" s="590" t="s">
        <v>62</v>
      </c>
      <c r="E8" s="591"/>
      <c r="F8" s="321">
        <v>32747625.05</v>
      </c>
      <c r="G8" s="467">
        <v>8.699212622458314</v>
      </c>
      <c r="H8" s="454">
        <v>2618852.4100000006</v>
      </c>
      <c r="I8" s="455">
        <v>10.578860993820953</v>
      </c>
      <c r="J8" s="274"/>
      <c r="K8" s="275"/>
      <c r="L8" s="39"/>
      <c r="Q8" s="236">
        <v>0.10578860993820953</v>
      </c>
    </row>
    <row r="9" spans="1:12" ht="12.75">
      <c r="A9" s="39"/>
      <c r="B9" s="273"/>
      <c r="C9" s="274"/>
      <c r="D9" s="560"/>
      <c r="E9" s="560"/>
      <c r="F9" s="300"/>
      <c r="G9" s="301"/>
      <c r="H9" s="300"/>
      <c r="I9" s="301"/>
      <c r="J9" s="274"/>
      <c r="K9" s="275"/>
      <c r="L9" s="39"/>
    </row>
    <row r="10" spans="1:12" ht="12.75">
      <c r="A10" s="39"/>
      <c r="B10" s="273"/>
      <c r="C10" s="274"/>
      <c r="D10" s="318"/>
      <c r="E10" s="318"/>
      <c r="F10" s="300"/>
      <c r="G10" s="301"/>
      <c r="H10" s="300"/>
      <c r="I10" s="301"/>
      <c r="J10" s="274"/>
      <c r="K10" s="275"/>
      <c r="L10" s="39"/>
    </row>
    <row r="11" spans="1:12" ht="12.75">
      <c r="A11" s="39"/>
      <c r="B11" s="273"/>
      <c r="C11" s="274"/>
      <c r="D11" s="318"/>
      <c r="E11" s="318"/>
      <c r="F11" s="300"/>
      <c r="G11" s="301"/>
      <c r="H11" s="300"/>
      <c r="I11" s="301"/>
      <c r="J11" s="274"/>
      <c r="K11" s="275"/>
      <c r="L11" s="39"/>
    </row>
    <row r="12" spans="1:12" ht="12.75">
      <c r="A12" s="39"/>
      <c r="B12" s="273"/>
      <c r="C12" s="274"/>
      <c r="D12" s="318"/>
      <c r="E12" s="318"/>
      <c r="F12" s="300"/>
      <c r="G12" s="301"/>
      <c r="H12" s="300"/>
      <c r="I12" s="301"/>
      <c r="J12" s="274"/>
      <c r="K12" s="275"/>
      <c r="L12" s="39"/>
    </row>
    <row r="13" spans="1:12" ht="12.75">
      <c r="A13" s="39"/>
      <c r="B13" s="273"/>
      <c r="C13" s="274"/>
      <c r="D13" s="318"/>
      <c r="E13" s="318"/>
      <c r="F13" s="231">
        <v>45327</v>
      </c>
      <c r="G13" s="231">
        <v>45352</v>
      </c>
      <c r="H13" s="232"/>
      <c r="I13" s="233">
        <v>0.10578860993820953</v>
      </c>
      <c r="J13" s="274"/>
      <c r="K13" s="275"/>
      <c r="L13" s="39"/>
    </row>
    <row r="14" spans="1:12" ht="12.75">
      <c r="A14" s="39"/>
      <c r="B14" s="273"/>
      <c r="C14" s="274"/>
      <c r="D14" s="560"/>
      <c r="E14" s="560"/>
      <c r="F14" s="232"/>
      <c r="G14" s="232"/>
      <c r="H14" s="232"/>
      <c r="I14" s="232"/>
      <c r="J14" s="274"/>
      <c r="K14" s="275"/>
      <c r="L14" s="39"/>
    </row>
    <row r="15" spans="1:12" ht="12.75">
      <c r="A15" s="39"/>
      <c r="B15" s="273"/>
      <c r="C15" s="274"/>
      <c r="D15" s="597"/>
      <c r="E15" s="597"/>
      <c r="F15" s="232"/>
      <c r="G15" s="232"/>
      <c r="H15" s="232"/>
      <c r="I15" s="232"/>
      <c r="J15" s="274"/>
      <c r="K15" s="275"/>
      <c r="L15" s="39"/>
    </row>
    <row r="16" spans="1:12" ht="12.75">
      <c r="A16" s="39"/>
      <c r="B16" s="273"/>
      <c r="C16" s="274"/>
      <c r="D16" s="573"/>
      <c r="E16" s="573"/>
      <c r="F16" s="232"/>
      <c r="G16" s="232"/>
      <c r="H16" s="232"/>
      <c r="I16" s="232"/>
      <c r="J16" s="274"/>
      <c r="K16" s="275"/>
      <c r="L16" s="39"/>
    </row>
    <row r="17" spans="1:12" ht="12.75">
      <c r="A17" s="39"/>
      <c r="B17" s="273"/>
      <c r="C17" s="274"/>
      <c r="D17" s="307"/>
      <c r="E17" s="307"/>
      <c r="F17" s="39"/>
      <c r="G17" s="39"/>
      <c r="H17" s="39"/>
      <c r="I17" s="39"/>
      <c r="J17" s="274"/>
      <c r="K17" s="275"/>
      <c r="L17" s="39"/>
    </row>
    <row r="18" spans="1:12" ht="12.75">
      <c r="A18" s="39"/>
      <c r="B18" s="273"/>
      <c r="C18" s="274"/>
      <c r="D18" s="307"/>
      <c r="E18" s="307"/>
      <c r="F18" s="39"/>
      <c r="G18" s="39"/>
      <c r="H18" s="39"/>
      <c r="I18" s="39"/>
      <c r="J18" s="274"/>
      <c r="K18" s="275"/>
      <c r="L18" s="39"/>
    </row>
    <row r="19" spans="1:12" ht="12.75">
      <c r="A19" s="39"/>
      <c r="B19" s="273"/>
      <c r="C19" s="274"/>
      <c r="D19" s="307"/>
      <c r="E19" s="307"/>
      <c r="F19" s="232"/>
      <c r="G19" s="232"/>
      <c r="H19" s="232"/>
      <c r="I19" s="232"/>
      <c r="J19" s="274"/>
      <c r="K19" s="275"/>
      <c r="L19" s="39"/>
    </row>
    <row r="20" spans="1:12" ht="12.75">
      <c r="A20" s="39"/>
      <c r="B20" s="273"/>
      <c r="C20" s="274"/>
      <c r="D20" s="307"/>
      <c r="E20" s="307"/>
      <c r="F20" s="234">
        <v>-30128772.64</v>
      </c>
      <c r="G20" s="233">
        <v>-0.9200292416319821</v>
      </c>
      <c r="H20" s="232"/>
      <c r="I20" s="232"/>
      <c r="J20" s="274"/>
      <c r="K20" s="275"/>
      <c r="L20" s="39"/>
    </row>
    <row r="21" spans="1:12" ht="12.75">
      <c r="A21" s="39"/>
      <c r="B21" s="273"/>
      <c r="C21" s="274"/>
      <c r="D21" s="307"/>
      <c r="E21" s="307"/>
      <c r="F21" s="235">
        <v>1.8796483713626397</v>
      </c>
      <c r="G21" s="233">
        <v>0.21607109205608419</v>
      </c>
      <c r="H21" s="232"/>
      <c r="I21" s="232"/>
      <c r="J21" s="274"/>
      <c r="K21" s="275"/>
      <c r="L21" s="39"/>
    </row>
    <row r="22" spans="1:12" ht="12.75">
      <c r="A22" s="39"/>
      <c r="B22" s="273"/>
      <c r="C22" s="274"/>
      <c r="D22" s="307"/>
      <c r="E22" s="307"/>
      <c r="F22" s="232"/>
      <c r="G22" s="232"/>
      <c r="H22" s="232"/>
      <c r="I22" s="232"/>
      <c r="J22" s="274"/>
      <c r="K22" s="275"/>
      <c r="L22" s="39"/>
    </row>
    <row r="23" spans="1:12" ht="12.75">
      <c r="A23" s="39"/>
      <c r="B23" s="273"/>
      <c r="C23" s="274"/>
      <c r="D23" s="307"/>
      <c r="E23" s="307"/>
      <c r="F23" s="300"/>
      <c r="G23" s="302"/>
      <c r="H23" s="300"/>
      <c r="I23" s="302"/>
      <c r="J23" s="274"/>
      <c r="K23" s="275"/>
      <c r="L23" s="39"/>
    </row>
    <row r="24" spans="1:12" ht="12.75">
      <c r="A24" s="39"/>
      <c r="B24" s="273"/>
      <c r="C24" s="274"/>
      <c r="D24" s="307"/>
      <c r="E24" s="307"/>
      <c r="F24" s="300"/>
      <c r="G24" s="302"/>
      <c r="H24" s="300"/>
      <c r="I24" s="302"/>
      <c r="J24" s="274"/>
      <c r="K24" s="275"/>
      <c r="L24" s="39"/>
    </row>
    <row r="25" spans="1:12" ht="12.75">
      <c r="A25" s="39"/>
      <c r="B25" s="273"/>
      <c r="C25" s="274"/>
      <c r="D25" s="307"/>
      <c r="E25" s="307"/>
      <c r="F25" s="300"/>
      <c r="G25" s="302"/>
      <c r="H25" s="300"/>
      <c r="I25" s="302"/>
      <c r="J25" s="274"/>
      <c r="K25" s="275"/>
      <c r="L25" s="39"/>
    </row>
    <row r="26" spans="1:12" ht="12.75">
      <c r="A26" s="39"/>
      <c r="B26" s="273"/>
      <c r="C26" s="274"/>
      <c r="D26" s="307"/>
      <c r="E26" s="307"/>
      <c r="F26" s="300"/>
      <c r="G26" s="302"/>
      <c r="H26" s="300"/>
      <c r="I26" s="302"/>
      <c r="J26" s="274"/>
      <c r="K26" s="275"/>
      <c r="L26" s="39"/>
    </row>
    <row r="27" spans="1:12" ht="12.75">
      <c r="A27" s="39"/>
      <c r="B27" s="273"/>
      <c r="C27" s="274"/>
      <c r="D27" s="307"/>
      <c r="E27" s="307"/>
      <c r="F27" s="300"/>
      <c r="G27" s="302"/>
      <c r="H27" s="300"/>
      <c r="I27" s="302"/>
      <c r="J27" s="274"/>
      <c r="K27" s="275"/>
      <c r="L27" s="39"/>
    </row>
    <row r="28" spans="1:12" ht="12.75">
      <c r="A28" s="39"/>
      <c r="B28" s="273"/>
      <c r="C28" s="274"/>
      <c r="D28" s="307"/>
      <c r="E28" s="307"/>
      <c r="F28" s="300"/>
      <c r="G28" s="302"/>
      <c r="H28" s="300"/>
      <c r="I28" s="302"/>
      <c r="J28" s="274"/>
      <c r="K28" s="275"/>
      <c r="L28" s="39"/>
    </row>
    <row r="29" spans="1:12" ht="13.5" thickBot="1">
      <c r="A29" s="39"/>
      <c r="B29" s="273"/>
      <c r="C29" s="274"/>
      <c r="D29" s="307"/>
      <c r="E29" s="307"/>
      <c r="F29" s="300"/>
      <c r="G29" s="302"/>
      <c r="H29" s="300"/>
      <c r="I29" s="302"/>
      <c r="J29" s="274"/>
      <c r="K29" s="275"/>
      <c r="L29" s="39"/>
    </row>
    <row r="30" spans="1:12" ht="13.5" thickBot="1">
      <c r="A30" s="39"/>
      <c r="B30" s="273"/>
      <c r="C30" s="274"/>
      <c r="D30" s="307"/>
      <c r="E30" s="579" t="s">
        <v>507</v>
      </c>
      <c r="F30" s="580"/>
      <c r="G30" s="580"/>
      <c r="H30" s="581"/>
      <c r="I30" s="302"/>
      <c r="J30" s="274"/>
      <c r="K30" s="275"/>
      <c r="L30" s="39"/>
    </row>
    <row r="31" spans="1:12" ht="13.5" thickBot="1">
      <c r="A31" s="39"/>
      <c r="B31" s="273"/>
      <c r="C31" s="274"/>
      <c r="D31" s="307"/>
      <c r="E31" s="582" t="s">
        <v>82</v>
      </c>
      <c r="F31" s="583"/>
      <c r="G31" s="421" t="s">
        <v>19</v>
      </c>
      <c r="H31" s="422" t="s">
        <v>205</v>
      </c>
      <c r="I31" s="302"/>
      <c r="J31" s="274"/>
      <c r="K31" s="275"/>
      <c r="L31" s="39"/>
    </row>
    <row r="32" spans="1:12" ht="12.75">
      <c r="A32" s="39"/>
      <c r="B32" s="273"/>
      <c r="C32" s="274"/>
      <c r="D32" s="274"/>
      <c r="E32" s="584" t="s">
        <v>508</v>
      </c>
      <c r="F32" s="585"/>
      <c r="G32" s="323">
        <v>-30128772.64</v>
      </c>
      <c r="H32" s="324">
        <v>1.8796483713626397</v>
      </c>
      <c r="I32" s="274"/>
      <c r="J32" s="274"/>
      <c r="K32" s="275"/>
      <c r="L32" s="39"/>
    </row>
    <row r="33" spans="1:12" ht="13.5" thickBot="1">
      <c r="A33" s="39"/>
      <c r="B33" s="273"/>
      <c r="C33" s="274"/>
      <c r="D33" s="274"/>
      <c r="E33" s="577" t="s">
        <v>84</v>
      </c>
      <c r="F33" s="578"/>
      <c r="G33" s="325">
        <v>-0.9200292416319821</v>
      </c>
      <c r="H33" s="326">
        <v>0.21607109205608419</v>
      </c>
      <c r="I33" s="274"/>
      <c r="J33" s="274"/>
      <c r="K33" s="275"/>
      <c r="L33" s="39"/>
    </row>
    <row r="34" spans="1:12" ht="12.75">
      <c r="A34" s="39"/>
      <c r="B34" s="273"/>
      <c r="C34" s="274"/>
      <c r="D34" s="274"/>
      <c r="E34" s="274"/>
      <c r="F34" s="274"/>
      <c r="G34" s="274"/>
      <c r="H34" s="274"/>
      <c r="I34" s="274"/>
      <c r="J34" s="274"/>
      <c r="K34" s="275"/>
      <c r="L34" s="39"/>
    </row>
    <row r="35" spans="1:12" ht="12.75">
      <c r="A35" s="39"/>
      <c r="B35" s="273"/>
      <c r="C35" s="274"/>
      <c r="D35" s="274"/>
      <c r="E35" s="274"/>
      <c r="F35" s="274"/>
      <c r="G35" s="274"/>
      <c r="H35" s="274"/>
      <c r="I35" s="274"/>
      <c r="J35" s="274"/>
      <c r="K35" s="275"/>
      <c r="L35" s="39"/>
    </row>
    <row r="36" spans="1:12" ht="12.75">
      <c r="A36" s="39"/>
      <c r="B36" s="273"/>
      <c r="C36" s="274"/>
      <c r="D36" s="274"/>
      <c r="E36" s="274"/>
      <c r="F36" s="274"/>
      <c r="G36" s="274"/>
      <c r="H36" s="274"/>
      <c r="I36" s="274"/>
      <c r="J36" s="274"/>
      <c r="K36" s="275"/>
      <c r="L36" s="39"/>
    </row>
    <row r="37" spans="1:12" ht="12.75">
      <c r="A37" s="39"/>
      <c r="B37" s="273"/>
      <c r="C37" s="274"/>
      <c r="D37" s="274"/>
      <c r="E37" s="274"/>
      <c r="F37" s="274"/>
      <c r="G37" s="274"/>
      <c r="H37" s="274"/>
      <c r="I37" s="274"/>
      <c r="J37" s="274"/>
      <c r="K37" s="275"/>
      <c r="L37" s="39"/>
    </row>
    <row r="38" spans="1:12" ht="16.5" thickBot="1">
      <c r="A38" s="39"/>
      <c r="B38" s="594" t="s">
        <v>509</v>
      </c>
      <c r="C38" s="595"/>
      <c r="D38" s="595"/>
      <c r="E38" s="595"/>
      <c r="F38" s="595"/>
      <c r="G38" s="595"/>
      <c r="H38" s="595"/>
      <c r="I38" s="595"/>
      <c r="J38" s="595"/>
      <c r="K38" s="596"/>
      <c r="L38" s="39"/>
    </row>
    <row r="39" spans="1:12" ht="16.5" thickTop="1">
      <c r="A39" s="39"/>
      <c r="B39" s="288"/>
      <c r="C39" s="289"/>
      <c r="D39" s="289"/>
      <c r="E39" s="289"/>
      <c r="F39" s="289"/>
      <c r="G39" s="289"/>
      <c r="H39" s="289"/>
      <c r="I39" s="289"/>
      <c r="J39" s="289"/>
      <c r="K39" s="290"/>
      <c r="L39" s="39"/>
    </row>
    <row r="40" spans="1:12" ht="13.5" thickBot="1">
      <c r="A40" s="39"/>
      <c r="B40" s="273"/>
      <c r="C40" s="274"/>
      <c r="D40" s="274"/>
      <c r="E40" s="274"/>
      <c r="F40" s="274"/>
      <c r="G40" s="274"/>
      <c r="H40" s="274"/>
      <c r="I40" s="274"/>
      <c r="J40" s="274"/>
      <c r="K40" s="275"/>
      <c r="L40" s="39"/>
    </row>
    <row r="41" spans="1:12" ht="15" customHeight="1" thickBot="1">
      <c r="A41" s="39"/>
      <c r="B41" s="273"/>
      <c r="C41" s="274"/>
      <c r="D41" s="586" t="s">
        <v>46</v>
      </c>
      <c r="E41" s="587"/>
      <c r="F41" s="598">
        <v>44992</v>
      </c>
      <c r="G41" s="599"/>
      <c r="H41" s="600">
        <v>45352</v>
      </c>
      <c r="I41" s="601"/>
      <c r="J41" s="274"/>
      <c r="K41" s="275"/>
      <c r="L41" s="39"/>
    </row>
    <row r="42" spans="1:12" ht="36" customHeight="1" thickBot="1">
      <c r="A42" s="39"/>
      <c r="B42" s="273"/>
      <c r="C42" s="274"/>
      <c r="D42" s="588"/>
      <c r="E42" s="589"/>
      <c r="F42" s="417" t="s">
        <v>89</v>
      </c>
      <c r="G42" s="418" t="s">
        <v>201</v>
      </c>
      <c r="H42" s="417" t="s">
        <v>90</v>
      </c>
      <c r="I42" s="420" t="s">
        <v>201</v>
      </c>
      <c r="J42" s="274"/>
      <c r="K42" s="275"/>
      <c r="L42" s="39"/>
    </row>
    <row r="43" spans="1:12" ht="24" customHeight="1" thickBot="1">
      <c r="A43" s="39"/>
      <c r="B43" s="273"/>
      <c r="C43" s="274"/>
      <c r="D43" s="592" t="s">
        <v>62</v>
      </c>
      <c r="E43" s="593"/>
      <c r="F43" s="321">
        <v>51163251.809999995</v>
      </c>
      <c r="G43" s="474">
        <v>7.306653917876726</v>
      </c>
      <c r="H43" s="322">
        <v>2618852.4100000006</v>
      </c>
      <c r="I43" s="449">
        <v>10.578860993820953</v>
      </c>
      <c r="J43" s="274"/>
      <c r="K43" s="275"/>
      <c r="L43" s="39"/>
    </row>
    <row r="44" spans="1:12" ht="12.75">
      <c r="A44" s="39"/>
      <c r="B44" s="273"/>
      <c r="C44" s="274"/>
      <c r="D44" s="274"/>
      <c r="E44" s="274"/>
      <c r="F44" s="274"/>
      <c r="G44" s="274"/>
      <c r="H44" s="274"/>
      <c r="I44" s="274"/>
      <c r="J44" s="274"/>
      <c r="K44" s="275"/>
      <c r="L44" s="39"/>
    </row>
    <row r="45" spans="1:12" ht="12.75">
      <c r="A45" s="39"/>
      <c r="B45" s="273"/>
      <c r="C45" s="274"/>
      <c r="D45" s="274"/>
      <c r="E45" s="274"/>
      <c r="F45" s="274"/>
      <c r="G45" s="274"/>
      <c r="H45" s="274"/>
      <c r="I45" s="274"/>
      <c r="J45" s="274"/>
      <c r="K45" s="275"/>
      <c r="L45" s="39"/>
    </row>
    <row r="46" spans="1:12" ht="12.75">
      <c r="A46" s="39"/>
      <c r="B46" s="273"/>
      <c r="C46" s="274"/>
      <c r="D46" s="274"/>
      <c r="E46" s="274"/>
      <c r="F46" s="327"/>
      <c r="G46" s="327"/>
      <c r="H46" s="327"/>
      <c r="I46" s="274"/>
      <c r="J46" s="274"/>
      <c r="K46" s="275"/>
      <c r="L46" s="39"/>
    </row>
    <row r="47" spans="1:12" ht="12.75">
      <c r="A47" s="39"/>
      <c r="B47" s="273"/>
      <c r="C47" s="274"/>
      <c r="D47" s="274"/>
      <c r="E47" s="274"/>
      <c r="F47" s="327"/>
      <c r="G47" s="327"/>
      <c r="H47" s="327"/>
      <c r="I47" s="274"/>
      <c r="J47" s="274"/>
      <c r="K47" s="275"/>
      <c r="L47" s="39"/>
    </row>
    <row r="48" spans="1:12" ht="12.75">
      <c r="A48" s="39"/>
      <c r="B48" s="273"/>
      <c r="C48" s="274"/>
      <c r="D48" s="274"/>
      <c r="E48" s="274"/>
      <c r="F48" s="481">
        <v>44992</v>
      </c>
      <c r="G48" s="481">
        <v>45352</v>
      </c>
      <c r="H48" s="39"/>
      <c r="I48" s="274"/>
      <c r="J48" s="274"/>
      <c r="K48" s="275"/>
      <c r="L48" s="39"/>
    </row>
    <row r="49" spans="1:12" ht="12.75">
      <c r="A49" s="39"/>
      <c r="B49" s="273"/>
      <c r="C49" s="274"/>
      <c r="D49" s="274"/>
      <c r="E49" s="274"/>
      <c r="F49" s="39"/>
      <c r="G49" s="39"/>
      <c r="H49" s="39"/>
      <c r="I49" s="274"/>
      <c r="J49" s="274"/>
      <c r="K49" s="275"/>
      <c r="L49" s="39"/>
    </row>
    <row r="50" spans="1:12" ht="12.75">
      <c r="A50" s="39"/>
      <c r="B50" s="273"/>
      <c r="C50" s="274"/>
      <c r="D50" s="274"/>
      <c r="E50" s="274"/>
      <c r="F50" s="39"/>
      <c r="G50" s="39"/>
      <c r="H50" s="39"/>
      <c r="I50" s="274"/>
      <c r="J50" s="274"/>
      <c r="K50" s="275"/>
      <c r="L50" s="39"/>
    </row>
    <row r="51" spans="1:12" ht="12.75">
      <c r="A51" s="39"/>
      <c r="B51" s="273"/>
      <c r="C51" s="274"/>
      <c r="D51" s="274"/>
      <c r="E51" s="274"/>
      <c r="F51" s="482">
        <v>-48544399.39999999</v>
      </c>
      <c r="G51" s="377">
        <v>-0.9488138005823911</v>
      </c>
      <c r="H51" s="39"/>
      <c r="I51" s="274"/>
      <c r="J51" s="274"/>
      <c r="K51" s="275"/>
      <c r="L51" s="39"/>
    </row>
    <row r="52" spans="1:12" ht="15.75">
      <c r="A52" s="39"/>
      <c r="B52" s="314"/>
      <c r="C52" s="315"/>
      <c r="D52" s="315"/>
      <c r="E52" s="483"/>
      <c r="F52" s="484">
        <v>3.2722070759442277</v>
      </c>
      <c r="G52" s="377">
        <v>0.44783934106121087</v>
      </c>
      <c r="H52" s="39"/>
      <c r="I52" s="483"/>
      <c r="J52" s="315"/>
      <c r="K52" s="316"/>
      <c r="L52" s="39"/>
    </row>
    <row r="53" spans="1:12" ht="15.75">
      <c r="A53" s="39"/>
      <c r="B53" s="288"/>
      <c r="C53" s="289"/>
      <c r="D53" s="289"/>
      <c r="E53" s="485"/>
      <c r="F53" s="484"/>
      <c r="G53" s="377"/>
      <c r="H53" s="39"/>
      <c r="I53" s="485"/>
      <c r="J53" s="289"/>
      <c r="K53" s="290"/>
      <c r="L53" s="39"/>
    </row>
    <row r="54" spans="1:12" ht="12.75">
      <c r="A54" s="39"/>
      <c r="B54" s="273"/>
      <c r="C54" s="274"/>
      <c r="D54" s="274"/>
      <c r="E54" s="274"/>
      <c r="F54" s="274"/>
      <c r="G54" s="274"/>
      <c r="H54" s="274"/>
      <c r="I54" s="274"/>
      <c r="J54" s="274"/>
      <c r="K54" s="275"/>
      <c r="L54" s="39"/>
    </row>
    <row r="55" spans="1:12" ht="12.75">
      <c r="A55" s="39"/>
      <c r="B55" s="273"/>
      <c r="C55" s="274"/>
      <c r="D55" s="328"/>
      <c r="E55" s="329"/>
      <c r="F55" s="329"/>
      <c r="G55" s="329"/>
      <c r="H55" s="329"/>
      <c r="I55" s="329"/>
      <c r="J55" s="274"/>
      <c r="K55" s="275"/>
      <c r="L55" s="39"/>
    </row>
    <row r="56" spans="1:12" ht="12.75" customHeight="1">
      <c r="A56" s="39"/>
      <c r="B56" s="273"/>
      <c r="C56" s="274"/>
      <c r="D56" s="292"/>
      <c r="E56" s="486"/>
      <c r="F56" s="487"/>
      <c r="G56" s="488"/>
      <c r="H56" s="487"/>
      <c r="I56" s="488"/>
      <c r="J56" s="274"/>
      <c r="K56" s="275"/>
      <c r="L56" s="39"/>
    </row>
    <row r="57" spans="1:12" ht="31.5" customHeight="1">
      <c r="A57" s="39"/>
      <c r="B57" s="273"/>
      <c r="C57" s="317"/>
      <c r="D57" s="292"/>
      <c r="E57" s="486"/>
      <c r="F57" s="489"/>
      <c r="G57" s="489"/>
      <c r="H57" s="489"/>
      <c r="I57" s="489"/>
      <c r="J57" s="317"/>
      <c r="K57" s="275"/>
      <c r="L57" s="39"/>
    </row>
    <row r="58" spans="1:12" ht="12.75">
      <c r="A58" s="39"/>
      <c r="B58" s="273"/>
      <c r="C58" s="317"/>
      <c r="D58" s="294"/>
      <c r="E58" s="294"/>
      <c r="F58" s="300"/>
      <c r="G58" s="301"/>
      <c r="H58" s="300"/>
      <c r="I58" s="301"/>
      <c r="J58" s="317"/>
      <c r="K58" s="275"/>
      <c r="L58" s="39"/>
    </row>
    <row r="59" spans="1:12" ht="12.75">
      <c r="A59" s="39"/>
      <c r="B59" s="273"/>
      <c r="C59" s="317"/>
      <c r="D59" s="294"/>
      <c r="E59" s="294"/>
      <c r="F59" s="300"/>
      <c r="G59" s="301"/>
      <c r="H59" s="300"/>
      <c r="I59" s="301"/>
      <c r="J59" s="317"/>
      <c r="K59" s="275"/>
      <c r="L59" s="39"/>
    </row>
    <row r="60" spans="1:12" ht="12.75">
      <c r="A60" s="39"/>
      <c r="B60" s="273"/>
      <c r="C60" s="317"/>
      <c r="D60" s="318"/>
      <c r="E60" s="318"/>
      <c r="F60" s="300"/>
      <c r="G60" s="301"/>
      <c r="H60" s="300"/>
      <c r="I60" s="301"/>
      <c r="J60" s="317"/>
      <c r="K60" s="275"/>
      <c r="L60" s="39"/>
    </row>
    <row r="61" spans="1:12" ht="12.75">
      <c r="A61" s="39"/>
      <c r="B61" s="273"/>
      <c r="C61" s="317"/>
      <c r="D61" s="560"/>
      <c r="E61" s="560"/>
      <c r="F61" s="300"/>
      <c r="G61" s="301"/>
      <c r="H61" s="300"/>
      <c r="I61" s="301"/>
      <c r="J61" s="317"/>
      <c r="K61" s="275"/>
      <c r="L61" s="39"/>
    </row>
    <row r="62" spans="1:12" ht="12.75">
      <c r="A62" s="39"/>
      <c r="B62" s="273"/>
      <c r="C62" s="317"/>
      <c r="D62" s="560"/>
      <c r="E62" s="560"/>
      <c r="F62" s="300"/>
      <c r="G62" s="302"/>
      <c r="H62" s="300"/>
      <c r="I62" s="302"/>
      <c r="J62" s="317"/>
      <c r="K62" s="275"/>
      <c r="L62" s="39"/>
    </row>
    <row r="63" spans="1:12" ht="13.5" thickBot="1">
      <c r="A63" s="39"/>
      <c r="B63" s="273"/>
      <c r="C63" s="317"/>
      <c r="D63" s="294"/>
      <c r="E63" s="294"/>
      <c r="F63" s="300"/>
      <c r="G63" s="302"/>
      <c r="H63" s="300"/>
      <c r="I63" s="302"/>
      <c r="J63" s="317"/>
      <c r="K63" s="275"/>
      <c r="L63" s="39"/>
    </row>
    <row r="64" spans="1:12" ht="13.5" thickBot="1">
      <c r="A64" s="39"/>
      <c r="B64" s="273"/>
      <c r="C64" s="317"/>
      <c r="D64" s="294"/>
      <c r="E64" s="579" t="s">
        <v>510</v>
      </c>
      <c r="F64" s="580"/>
      <c r="G64" s="580"/>
      <c r="H64" s="581"/>
      <c r="I64" s="302"/>
      <c r="J64" s="317"/>
      <c r="K64" s="275"/>
      <c r="L64" s="39"/>
    </row>
    <row r="65" spans="1:12" ht="13.5" thickBot="1">
      <c r="A65" s="39"/>
      <c r="B65" s="273"/>
      <c r="C65" s="317"/>
      <c r="D65" s="294"/>
      <c r="E65" s="582" t="s">
        <v>82</v>
      </c>
      <c r="F65" s="583"/>
      <c r="G65" s="421" t="s">
        <v>19</v>
      </c>
      <c r="H65" s="422" t="s">
        <v>205</v>
      </c>
      <c r="I65" s="302"/>
      <c r="J65" s="317"/>
      <c r="K65" s="275"/>
      <c r="L65" s="39"/>
    </row>
    <row r="66" spans="1:12" ht="12.75">
      <c r="A66" s="39"/>
      <c r="B66" s="273"/>
      <c r="C66" s="317"/>
      <c r="D66" s="330"/>
      <c r="E66" s="584" t="s">
        <v>511</v>
      </c>
      <c r="F66" s="585"/>
      <c r="G66" s="323">
        <v>-48544399.39999999</v>
      </c>
      <c r="H66" s="324">
        <v>3.2722070759442277</v>
      </c>
      <c r="I66" s="302"/>
      <c r="J66" s="317"/>
      <c r="K66" s="275"/>
      <c r="L66" s="39"/>
    </row>
    <row r="67" spans="1:12" ht="13.5" thickBot="1">
      <c r="A67" s="39"/>
      <c r="B67" s="273"/>
      <c r="C67" s="317"/>
      <c r="D67" s="331"/>
      <c r="E67" s="577" t="s">
        <v>84</v>
      </c>
      <c r="F67" s="578"/>
      <c r="G67" s="325">
        <v>-0.9488138005823911</v>
      </c>
      <c r="H67" s="326">
        <v>0.44783934106121087</v>
      </c>
      <c r="I67" s="302"/>
      <c r="J67" s="317"/>
      <c r="K67" s="275"/>
      <c r="L67" s="39"/>
    </row>
    <row r="68" spans="1:12" ht="12.75">
      <c r="A68" s="39"/>
      <c r="B68" s="273"/>
      <c r="C68" s="317"/>
      <c r="D68" s="307"/>
      <c r="E68" s="307"/>
      <c r="F68" s="300"/>
      <c r="G68" s="302"/>
      <c r="H68" s="300"/>
      <c r="I68" s="302"/>
      <c r="J68" s="317"/>
      <c r="K68" s="275"/>
      <c r="L68" s="39"/>
    </row>
    <row r="69" spans="1:12" ht="12.75">
      <c r="A69" s="39"/>
      <c r="B69" s="273"/>
      <c r="C69" s="317"/>
      <c r="D69" s="307"/>
      <c r="E69" s="307"/>
      <c r="F69" s="300"/>
      <c r="G69" s="302"/>
      <c r="H69" s="300"/>
      <c r="I69" s="302"/>
      <c r="J69" s="317"/>
      <c r="K69" s="275"/>
      <c r="L69" s="39"/>
    </row>
    <row r="70" spans="1:12" ht="12.75">
      <c r="A70" s="39"/>
      <c r="B70" s="273"/>
      <c r="C70" s="317"/>
      <c r="D70" s="307"/>
      <c r="E70" s="307"/>
      <c r="F70" s="300"/>
      <c r="G70" s="302"/>
      <c r="H70" s="300"/>
      <c r="I70" s="302"/>
      <c r="J70" s="317"/>
      <c r="K70" s="275"/>
      <c r="L70" s="39"/>
    </row>
    <row r="71" spans="1:12" ht="12.75">
      <c r="A71" s="39"/>
      <c r="B71" s="273"/>
      <c r="C71" s="317"/>
      <c r="D71" s="307"/>
      <c r="E71" s="307"/>
      <c r="F71" s="300"/>
      <c r="G71" s="302"/>
      <c r="H71" s="300"/>
      <c r="I71" s="302"/>
      <c r="J71" s="317"/>
      <c r="K71" s="275"/>
      <c r="L71" s="39"/>
    </row>
    <row r="72" spans="1:12" ht="13.5" thickBot="1">
      <c r="A72" s="39"/>
      <c r="B72" s="283"/>
      <c r="C72" s="320"/>
      <c r="D72" s="576"/>
      <c r="E72" s="576"/>
      <c r="F72" s="319"/>
      <c r="G72" s="319"/>
      <c r="H72" s="319"/>
      <c r="I72" s="319"/>
      <c r="J72" s="320"/>
      <c r="K72" s="285"/>
      <c r="L72" s="39"/>
    </row>
    <row r="73" spans="1:12" ht="13.5" thickTop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.75">
      <c r="A74" s="39"/>
      <c r="L74" s="39"/>
    </row>
    <row r="75" spans="1:12" ht="12.75" hidden="1">
      <c r="A75" s="39"/>
      <c r="L75" s="39"/>
    </row>
    <row r="76" spans="1:12" ht="12.75" hidden="1">
      <c r="A76" s="39"/>
      <c r="L76" s="39"/>
    </row>
    <row r="77" spans="1:12" ht="12.75" hidden="1">
      <c r="A77" s="39"/>
      <c r="L77" s="39"/>
    </row>
    <row r="78" spans="1:12" ht="12.75" hidden="1">
      <c r="A78" s="39"/>
      <c r="L78" s="39"/>
    </row>
    <row r="79" spans="1:12" ht="12.75" hidden="1">
      <c r="A79" s="39"/>
      <c r="L79" s="39"/>
    </row>
    <row r="80" spans="1:12" ht="12.75" hidden="1">
      <c r="A80" s="39"/>
      <c r="L80" s="39"/>
    </row>
    <row r="81" spans="1:12" ht="12.75" hidden="1">
      <c r="A81" s="39"/>
      <c r="L81" s="39"/>
    </row>
    <row r="82" spans="1:12" ht="12.75" hidden="1">
      <c r="A82" s="39"/>
      <c r="L82" s="39"/>
    </row>
    <row r="83" spans="1:12" ht="12.75" hidden="1">
      <c r="A83" s="39"/>
      <c r="L83" s="39"/>
    </row>
    <row r="84" spans="1:12" ht="12.75" hidden="1">
      <c r="A84" s="39"/>
      <c r="L84" s="39"/>
    </row>
    <row r="85" spans="1:12" ht="12.75" hidden="1">
      <c r="A85" s="39"/>
      <c r="L85" s="39"/>
    </row>
    <row r="86" spans="1:12" ht="12.75" hidden="1">
      <c r="A86" s="39"/>
      <c r="L86" s="39"/>
    </row>
    <row r="87" spans="1:12" ht="12.75" hidden="1">
      <c r="A87" s="39"/>
      <c r="L87" s="39"/>
    </row>
    <row r="88" spans="1:12" ht="12.75" hidden="1">
      <c r="A88" s="39"/>
      <c r="L88" s="39"/>
    </row>
    <row r="89" spans="1:12" ht="12.75" hidden="1">
      <c r="A89" s="39"/>
      <c r="L89" s="39"/>
    </row>
    <row r="90" spans="1:12" ht="12.75" hidden="1">
      <c r="A90" s="39"/>
      <c r="L90" s="39"/>
    </row>
    <row r="91" spans="1:12" ht="12.75" hidden="1">
      <c r="A91" s="39"/>
      <c r="L91" s="39"/>
    </row>
    <row r="92" spans="1:12" ht="12.75" hidden="1">
      <c r="A92" s="39"/>
      <c r="L92" s="39"/>
    </row>
    <row r="93" spans="1:12" ht="12.75" hidden="1">
      <c r="A93" s="39"/>
      <c r="L93" s="39"/>
    </row>
    <row r="94" spans="1:12" ht="12.75" hidden="1">
      <c r="A94" s="39"/>
      <c r="L94" s="39"/>
    </row>
  </sheetData>
  <sheetProtection/>
  <mergeCells count="26">
    <mergeCell ref="B2:K2"/>
    <mergeCell ref="D6:E7"/>
    <mergeCell ref="F6:G6"/>
    <mergeCell ref="H6:I6"/>
    <mergeCell ref="B3:K3"/>
    <mergeCell ref="D41:E42"/>
    <mergeCell ref="D9:E9"/>
    <mergeCell ref="D8:E8"/>
    <mergeCell ref="D43:E43"/>
    <mergeCell ref="B38:K38"/>
    <mergeCell ref="D14:E14"/>
    <mergeCell ref="D15:E15"/>
    <mergeCell ref="D16:E16"/>
    <mergeCell ref="E30:H30"/>
    <mergeCell ref="E31:F31"/>
    <mergeCell ref="E32:F32"/>
    <mergeCell ref="F41:G41"/>
    <mergeCell ref="H41:I41"/>
    <mergeCell ref="E33:F33"/>
    <mergeCell ref="D72:E72"/>
    <mergeCell ref="D61:E61"/>
    <mergeCell ref="D62:E62"/>
    <mergeCell ref="E67:F67"/>
    <mergeCell ref="E64:H64"/>
    <mergeCell ref="E65:F65"/>
    <mergeCell ref="E66:F6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93"/>
  <sheetViews>
    <sheetView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3.00390625" style="238" customWidth="1"/>
    <col min="2" max="2" width="6.28125" style="238" customWidth="1"/>
    <col min="3" max="3" width="15.57421875" style="238" customWidth="1"/>
    <col min="4" max="4" width="22.7109375" style="238" customWidth="1"/>
    <col min="5" max="7" width="7.421875" style="238" customWidth="1"/>
    <col min="8" max="8" width="9.28125" style="238" customWidth="1"/>
    <col min="9" max="9" width="13.8515625" style="238" customWidth="1"/>
    <col min="10" max="10" width="6.00390625" style="238" customWidth="1"/>
    <col min="11" max="11" width="6.28125" style="238" customWidth="1"/>
    <col min="12" max="12" width="3.28125" style="238" customWidth="1"/>
    <col min="13" max="13" width="3.421875" style="39" customWidth="1"/>
    <col min="14" max="14" width="13.28125" style="268" hidden="1" customWidth="1"/>
    <col min="15" max="25" width="0" style="268" hidden="1" customWidth="1"/>
    <col min="26" max="16384" width="11.421875" style="238" hidden="1" customWidth="1"/>
  </cols>
  <sheetData>
    <row r="1" spans="1:12" ht="13.5" thickBot="1">
      <c r="A1" s="239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39"/>
    </row>
    <row r="2" spans="1:12" ht="16.5" thickTop="1">
      <c r="A2" s="39"/>
      <c r="B2" s="602"/>
      <c r="C2" s="603"/>
      <c r="D2" s="603"/>
      <c r="E2" s="603"/>
      <c r="F2" s="603"/>
      <c r="G2" s="603"/>
      <c r="H2" s="603"/>
      <c r="I2" s="603"/>
      <c r="J2" s="603"/>
      <c r="K2" s="604"/>
      <c r="L2" s="39"/>
    </row>
    <row r="3" spans="1:12" ht="16.5" thickBot="1">
      <c r="A3" s="39"/>
      <c r="B3" s="594" t="s">
        <v>457</v>
      </c>
      <c r="C3" s="595"/>
      <c r="D3" s="595"/>
      <c r="E3" s="595"/>
      <c r="F3" s="595"/>
      <c r="G3" s="595"/>
      <c r="H3" s="595"/>
      <c r="I3" s="595"/>
      <c r="J3" s="595"/>
      <c r="K3" s="596"/>
      <c r="L3" s="39"/>
    </row>
    <row r="4" spans="1:12" ht="16.5" thickTop="1">
      <c r="A4" s="39"/>
      <c r="B4" s="288"/>
      <c r="C4" s="289"/>
      <c r="D4" s="289"/>
      <c r="E4" s="289"/>
      <c r="F4" s="289"/>
      <c r="G4" s="289"/>
      <c r="H4" s="289"/>
      <c r="I4" s="289"/>
      <c r="J4" s="289"/>
      <c r="K4" s="290"/>
      <c r="L4" s="39"/>
    </row>
    <row r="5" spans="1:12" ht="13.5" thickBot="1">
      <c r="A5" s="39"/>
      <c r="B5" s="273"/>
      <c r="C5" s="274"/>
      <c r="D5" s="274"/>
      <c r="E5" s="274"/>
      <c r="F5" s="274"/>
      <c r="G5" s="274"/>
      <c r="H5" s="274"/>
      <c r="I5" s="274"/>
      <c r="J5" s="274"/>
      <c r="K5" s="275"/>
      <c r="L5" s="39"/>
    </row>
    <row r="6" spans="1:24" ht="13.5" customHeight="1" thickBot="1">
      <c r="A6" s="39"/>
      <c r="B6" s="273"/>
      <c r="C6" s="291"/>
      <c r="D6" s="616" t="s">
        <v>455</v>
      </c>
      <c r="E6" s="617"/>
      <c r="F6" s="617"/>
      <c r="G6" s="617"/>
      <c r="H6" s="617"/>
      <c r="I6" s="618"/>
      <c r="J6" s="274"/>
      <c r="K6" s="275"/>
      <c r="L6" s="39"/>
      <c r="U6" s="621"/>
      <c r="V6" s="622"/>
      <c r="W6" s="621"/>
      <c r="X6" s="622"/>
    </row>
    <row r="7" spans="1:24" ht="13.5" thickBot="1">
      <c r="A7" s="39"/>
      <c r="B7" s="273"/>
      <c r="C7" s="292"/>
      <c r="D7" s="619" t="s">
        <v>46</v>
      </c>
      <c r="E7" s="626"/>
      <c r="F7" s="626"/>
      <c r="G7" s="626"/>
      <c r="H7" s="423">
        <v>2023</v>
      </c>
      <c r="I7" s="424" t="s">
        <v>503</v>
      </c>
      <c r="J7" s="274"/>
      <c r="K7" s="275"/>
      <c r="L7" s="39"/>
      <c r="U7" s="293"/>
      <c r="V7" s="293"/>
      <c r="W7" s="293"/>
      <c r="X7" s="293"/>
    </row>
    <row r="8" spans="1:24" ht="13.5" thickBot="1">
      <c r="A8" s="39"/>
      <c r="B8" s="273"/>
      <c r="C8" s="294"/>
      <c r="D8" s="614" t="s">
        <v>62</v>
      </c>
      <c r="E8" s="625"/>
      <c r="F8" s="625"/>
      <c r="G8" s="625"/>
      <c r="H8" s="295">
        <v>337</v>
      </c>
      <c r="I8" s="296">
        <v>70</v>
      </c>
      <c r="J8" s="274"/>
      <c r="K8" s="275"/>
      <c r="L8" s="39"/>
      <c r="N8" s="297"/>
      <c r="O8" s="297"/>
      <c r="U8" s="298"/>
      <c r="V8" s="299"/>
      <c r="W8" s="298"/>
      <c r="X8" s="299"/>
    </row>
    <row r="9" spans="1:24" ht="12.75">
      <c r="A9" s="39"/>
      <c r="B9" s="273"/>
      <c r="C9" s="560"/>
      <c r="D9" s="560"/>
      <c r="E9" s="300"/>
      <c r="F9" s="301"/>
      <c r="G9" s="300"/>
      <c r="H9" s="300"/>
      <c r="I9" s="301"/>
      <c r="J9" s="274"/>
      <c r="K9" s="275"/>
      <c r="L9" s="39"/>
      <c r="U9" s="298"/>
      <c r="V9" s="299"/>
      <c r="W9" s="298"/>
      <c r="X9" s="299"/>
    </row>
    <row r="10" spans="1:24" ht="12.75">
      <c r="A10" s="39"/>
      <c r="B10" s="273"/>
      <c r="C10" s="560"/>
      <c r="D10" s="560"/>
      <c r="E10" s="300"/>
      <c r="F10" s="302"/>
      <c r="G10" s="300"/>
      <c r="H10" s="300"/>
      <c r="I10" s="302"/>
      <c r="J10" s="274"/>
      <c r="K10" s="275"/>
      <c r="L10" s="39"/>
      <c r="U10" s="298"/>
      <c r="V10" s="303"/>
      <c r="W10" s="298"/>
      <c r="X10" s="303"/>
    </row>
    <row r="11" spans="1:24" ht="12.75">
      <c r="A11" s="39"/>
      <c r="B11" s="273"/>
      <c r="C11" s="597"/>
      <c r="D11" s="597"/>
      <c r="E11" s="300"/>
      <c r="F11" s="302"/>
      <c r="G11" s="300"/>
      <c r="H11" s="300"/>
      <c r="I11" s="302"/>
      <c r="J11" s="274"/>
      <c r="K11" s="275"/>
      <c r="L11" s="39"/>
      <c r="N11" s="304"/>
      <c r="O11" s="305"/>
      <c r="U11" s="298"/>
      <c r="V11" s="303"/>
      <c r="W11" s="298"/>
      <c r="X11" s="303"/>
    </row>
    <row r="12" spans="1:24" ht="12.75">
      <c r="A12" s="39"/>
      <c r="B12" s="273"/>
      <c r="C12" s="573"/>
      <c r="D12" s="573"/>
      <c r="E12" s="300"/>
      <c r="F12" s="302"/>
      <c r="G12" s="300"/>
      <c r="H12" s="300"/>
      <c r="I12" s="302"/>
      <c r="J12" s="274"/>
      <c r="K12" s="275"/>
      <c r="L12" s="39"/>
      <c r="N12" s="306"/>
      <c r="O12" s="305"/>
      <c r="U12" s="298"/>
      <c r="V12" s="303"/>
      <c r="W12" s="298"/>
      <c r="X12" s="303"/>
    </row>
    <row r="13" spans="1:24" ht="12.75">
      <c r="A13" s="39"/>
      <c r="B13" s="273"/>
      <c r="C13" s="307"/>
      <c r="D13" s="307"/>
      <c r="E13" s="300"/>
      <c r="F13" s="302"/>
      <c r="G13" s="300"/>
      <c r="H13" s="300"/>
      <c r="I13" s="302"/>
      <c r="J13" s="274"/>
      <c r="K13" s="275"/>
      <c r="L13" s="39"/>
      <c r="N13" s="306"/>
      <c r="O13" s="305"/>
      <c r="U13" s="298"/>
      <c r="V13" s="303"/>
      <c r="W13" s="298"/>
      <c r="X13" s="303"/>
    </row>
    <row r="14" spans="1:24" ht="12.75">
      <c r="A14" s="39"/>
      <c r="B14" s="273"/>
      <c r="C14" s="307"/>
      <c r="D14" s="307"/>
      <c r="E14" s="300"/>
      <c r="F14" s="302"/>
      <c r="G14" s="300"/>
      <c r="H14" s="300"/>
      <c r="I14" s="302"/>
      <c r="J14" s="274"/>
      <c r="K14" s="275"/>
      <c r="L14" s="39"/>
      <c r="N14" s="306"/>
      <c r="O14" s="305"/>
      <c r="U14" s="298"/>
      <c r="V14" s="303"/>
      <c r="W14" s="298"/>
      <c r="X14" s="303"/>
    </row>
    <row r="15" spans="1:12" ht="12.75">
      <c r="A15" s="39"/>
      <c r="B15" s="273"/>
      <c r="C15" s="307"/>
      <c r="D15" s="307"/>
      <c r="E15" s="300"/>
      <c r="F15" s="302"/>
      <c r="G15" s="300"/>
      <c r="H15" s="300"/>
      <c r="I15" s="302"/>
      <c r="J15" s="274"/>
      <c r="K15" s="275"/>
      <c r="L15" s="39"/>
    </row>
    <row r="16" spans="1:12" ht="12.75">
      <c r="A16" s="39"/>
      <c r="B16" s="273"/>
      <c r="C16" s="307"/>
      <c r="D16" s="307"/>
      <c r="E16" s="300"/>
      <c r="F16" s="302"/>
      <c r="G16" s="300"/>
      <c r="H16" s="300"/>
      <c r="I16" s="302"/>
      <c r="J16" s="274"/>
      <c r="K16" s="275"/>
      <c r="L16" s="39"/>
    </row>
    <row r="17" spans="1:12" ht="12.75">
      <c r="A17" s="39"/>
      <c r="B17" s="273"/>
      <c r="C17" s="307"/>
      <c r="D17" s="307"/>
      <c r="E17" s="300"/>
      <c r="F17" s="302"/>
      <c r="G17" s="300"/>
      <c r="H17" s="300"/>
      <c r="I17" s="302"/>
      <c r="J17" s="274"/>
      <c r="K17" s="275"/>
      <c r="L17" s="39"/>
    </row>
    <row r="18" spans="1:12" ht="12.75">
      <c r="A18" s="39"/>
      <c r="B18" s="273"/>
      <c r="C18" s="307"/>
      <c r="D18" s="307"/>
      <c r="E18" s="300"/>
      <c r="F18" s="302"/>
      <c r="G18" s="300"/>
      <c r="H18" s="300"/>
      <c r="I18" s="302"/>
      <c r="J18" s="274"/>
      <c r="K18" s="275"/>
      <c r="L18" s="39"/>
    </row>
    <row r="19" spans="1:12" ht="12.75">
      <c r="A19" s="39"/>
      <c r="B19" s="273"/>
      <c r="C19" s="307"/>
      <c r="D19" s="307"/>
      <c r="E19" s="300"/>
      <c r="F19" s="302"/>
      <c r="G19" s="300"/>
      <c r="H19" s="300"/>
      <c r="I19" s="302"/>
      <c r="J19" s="274"/>
      <c r="K19" s="275"/>
      <c r="L19" s="39"/>
    </row>
    <row r="20" spans="1:12" ht="12.75">
      <c r="A20" s="39"/>
      <c r="B20" s="273"/>
      <c r="C20" s="307"/>
      <c r="D20" s="307"/>
      <c r="E20" s="300"/>
      <c r="F20" s="302"/>
      <c r="G20" s="300"/>
      <c r="H20" s="300"/>
      <c r="I20" s="302"/>
      <c r="J20" s="274"/>
      <c r="K20" s="275"/>
      <c r="L20" s="39"/>
    </row>
    <row r="21" spans="1:12" ht="12.75">
      <c r="A21" s="39"/>
      <c r="B21" s="273"/>
      <c r="C21" s="307"/>
      <c r="D21" s="307"/>
      <c r="E21" s="300"/>
      <c r="F21" s="302"/>
      <c r="G21" s="300"/>
      <c r="H21" s="300"/>
      <c r="I21" s="302"/>
      <c r="J21" s="274"/>
      <c r="K21" s="275"/>
      <c r="L21" s="39"/>
    </row>
    <row r="22" spans="1:12" ht="12.75">
      <c r="A22" s="39"/>
      <c r="B22" s="273"/>
      <c r="C22" s="307"/>
      <c r="D22" s="307"/>
      <c r="E22" s="300"/>
      <c r="F22" s="302"/>
      <c r="G22" s="300"/>
      <c r="H22" s="300"/>
      <c r="I22" s="302"/>
      <c r="J22" s="274"/>
      <c r="K22" s="275"/>
      <c r="L22" s="39"/>
    </row>
    <row r="23" spans="1:12" ht="12.75">
      <c r="A23" s="39"/>
      <c r="B23" s="273"/>
      <c r="C23" s="307"/>
      <c r="D23" s="307"/>
      <c r="E23" s="300"/>
      <c r="F23" s="302"/>
      <c r="G23" s="300"/>
      <c r="H23" s="300"/>
      <c r="I23" s="302"/>
      <c r="J23" s="274"/>
      <c r="K23" s="275"/>
      <c r="L23" s="39"/>
    </row>
    <row r="24" spans="1:12" ht="12.75">
      <c r="A24" s="39"/>
      <c r="B24" s="273"/>
      <c r="C24" s="307"/>
      <c r="D24" s="307"/>
      <c r="E24" s="300"/>
      <c r="F24" s="302"/>
      <c r="G24" s="300"/>
      <c r="H24" s="300"/>
      <c r="I24" s="302"/>
      <c r="J24" s="274"/>
      <c r="K24" s="275"/>
      <c r="L24" s="39"/>
    </row>
    <row r="25" spans="1:12" ht="12.75">
      <c r="A25" s="39"/>
      <c r="B25" s="273"/>
      <c r="C25" s="307"/>
      <c r="D25" s="307"/>
      <c r="E25" s="300"/>
      <c r="F25" s="302"/>
      <c r="G25" s="300"/>
      <c r="H25" s="300"/>
      <c r="I25" s="302"/>
      <c r="J25" s="274"/>
      <c r="K25" s="275"/>
      <c r="L25" s="39"/>
    </row>
    <row r="26" spans="1:12" ht="12.75">
      <c r="A26" s="39"/>
      <c r="B26" s="273"/>
      <c r="C26" s="307"/>
      <c r="D26" s="307"/>
      <c r="E26" s="300"/>
      <c r="F26" s="302"/>
      <c r="G26" s="300"/>
      <c r="H26" s="300"/>
      <c r="I26" s="302"/>
      <c r="J26" s="274"/>
      <c r="K26" s="275"/>
      <c r="L26" s="39"/>
    </row>
    <row r="27" spans="1:12" ht="12.75">
      <c r="A27" s="39"/>
      <c r="B27" s="273"/>
      <c r="C27" s="307"/>
      <c r="D27" s="307"/>
      <c r="E27" s="300"/>
      <c r="F27" s="302"/>
      <c r="G27" s="300"/>
      <c r="H27" s="300"/>
      <c r="I27" s="302"/>
      <c r="J27" s="274"/>
      <c r="K27" s="275"/>
      <c r="L27" s="39"/>
    </row>
    <row r="28" spans="1:12" ht="12.75">
      <c r="A28" s="39"/>
      <c r="B28" s="273"/>
      <c r="C28" s="307"/>
      <c r="D28" s="307"/>
      <c r="E28" s="300"/>
      <c r="F28" s="302"/>
      <c r="G28" s="300"/>
      <c r="H28" s="300"/>
      <c r="I28" s="302"/>
      <c r="J28" s="274"/>
      <c r="K28" s="275"/>
      <c r="L28" s="39"/>
    </row>
    <row r="29" spans="1:12" ht="12.75">
      <c r="A29" s="39"/>
      <c r="B29" s="273"/>
      <c r="C29" s="307"/>
      <c r="D29" s="307"/>
      <c r="E29" s="300"/>
      <c r="F29" s="302"/>
      <c r="G29" s="300"/>
      <c r="H29" s="300"/>
      <c r="I29" s="302"/>
      <c r="J29" s="274"/>
      <c r="K29" s="275"/>
      <c r="L29" s="39"/>
    </row>
    <row r="30" spans="1:12" ht="13.5" thickBot="1">
      <c r="A30" s="39"/>
      <c r="B30" s="273"/>
      <c r="C30" s="307"/>
      <c r="D30" s="307"/>
      <c r="E30" s="300"/>
      <c r="F30" s="302"/>
      <c r="G30" s="300"/>
      <c r="H30" s="300"/>
      <c r="I30" s="302"/>
      <c r="J30" s="274"/>
      <c r="K30" s="275"/>
      <c r="L30" s="39"/>
    </row>
    <row r="31" spans="1:12" ht="12.75" customHeight="1" thickBot="1">
      <c r="A31" s="39"/>
      <c r="B31" s="273"/>
      <c r="C31" s="274"/>
      <c r="D31" s="616" t="s">
        <v>504</v>
      </c>
      <c r="E31" s="617"/>
      <c r="F31" s="617"/>
      <c r="G31" s="618"/>
      <c r="H31" s="308"/>
      <c r="I31" s="291"/>
      <c r="J31" s="274"/>
      <c r="K31" s="275"/>
      <c r="L31" s="39"/>
    </row>
    <row r="32" spans="1:12" ht="13.5" thickBot="1">
      <c r="A32" s="39"/>
      <c r="B32" s="273"/>
      <c r="C32" s="274"/>
      <c r="D32" s="619" t="s">
        <v>46</v>
      </c>
      <c r="E32" s="620"/>
      <c r="F32" s="425">
        <v>45337</v>
      </c>
      <c r="G32" s="424">
        <v>45352</v>
      </c>
      <c r="H32" s="309"/>
      <c r="I32" s="310"/>
      <c r="J32" s="274"/>
      <c r="K32" s="275"/>
      <c r="L32" s="39"/>
    </row>
    <row r="33" spans="1:12" ht="13.5" thickBot="1">
      <c r="A33" s="39"/>
      <c r="B33" s="273"/>
      <c r="C33" s="274"/>
      <c r="D33" s="614" t="s">
        <v>62</v>
      </c>
      <c r="E33" s="615"/>
      <c r="F33" s="311">
        <v>23</v>
      </c>
      <c r="G33" s="312">
        <v>29</v>
      </c>
      <c r="H33" s="313"/>
      <c r="I33" s="313"/>
      <c r="J33" s="274"/>
      <c r="K33" s="275"/>
      <c r="L33" s="39"/>
    </row>
    <row r="34" spans="1:12" ht="12.75">
      <c r="A34" s="39"/>
      <c r="B34" s="273"/>
      <c r="C34" s="274"/>
      <c r="D34" s="274"/>
      <c r="E34" s="274"/>
      <c r="F34" s="274"/>
      <c r="G34" s="274"/>
      <c r="H34" s="274"/>
      <c r="I34" s="274"/>
      <c r="J34" s="274"/>
      <c r="K34" s="275"/>
      <c r="L34" s="39"/>
    </row>
    <row r="35" spans="1:12" ht="12.75">
      <c r="A35" s="39"/>
      <c r="B35" s="273"/>
      <c r="C35" s="274"/>
      <c r="D35" s="274"/>
      <c r="E35" s="274"/>
      <c r="F35" s="274"/>
      <c r="G35" s="274"/>
      <c r="H35" s="274"/>
      <c r="I35" s="274"/>
      <c r="J35" s="274"/>
      <c r="K35" s="275"/>
      <c r="L35" s="39"/>
    </row>
    <row r="36" spans="1:12" ht="12.75">
      <c r="A36" s="39"/>
      <c r="B36" s="273"/>
      <c r="C36" s="274"/>
      <c r="D36" s="274"/>
      <c r="E36" s="274"/>
      <c r="F36" s="274"/>
      <c r="G36" s="274"/>
      <c r="H36" s="274"/>
      <c r="I36" s="274"/>
      <c r="J36" s="274"/>
      <c r="K36" s="275"/>
      <c r="L36" s="39"/>
    </row>
    <row r="37" spans="1:12" ht="12.75">
      <c r="A37" s="39"/>
      <c r="B37" s="273"/>
      <c r="C37" s="274"/>
      <c r="D37" s="274"/>
      <c r="E37" s="274"/>
      <c r="F37" s="274"/>
      <c r="G37" s="274"/>
      <c r="H37" s="274"/>
      <c r="I37" s="274"/>
      <c r="J37" s="274"/>
      <c r="K37" s="275"/>
      <c r="L37" s="39"/>
    </row>
    <row r="38" spans="1:12" ht="12.75">
      <c r="A38" s="39"/>
      <c r="B38" s="273"/>
      <c r="C38" s="274"/>
      <c r="D38" s="274"/>
      <c r="E38" s="274"/>
      <c r="F38" s="274"/>
      <c r="G38" s="274"/>
      <c r="H38" s="274"/>
      <c r="I38" s="274"/>
      <c r="J38" s="274"/>
      <c r="K38" s="275"/>
      <c r="L38" s="39"/>
    </row>
    <row r="39" spans="1:12" ht="12.75">
      <c r="A39" s="39"/>
      <c r="B39" s="273"/>
      <c r="C39" s="274"/>
      <c r="D39" s="274"/>
      <c r="E39" s="274"/>
      <c r="F39" s="274"/>
      <c r="G39" s="274"/>
      <c r="H39" s="274"/>
      <c r="I39" s="274"/>
      <c r="J39" s="274"/>
      <c r="K39" s="275"/>
      <c r="L39" s="39"/>
    </row>
    <row r="40" spans="1:12" ht="12.75">
      <c r="A40" s="39"/>
      <c r="B40" s="273"/>
      <c r="C40" s="274"/>
      <c r="D40" s="274"/>
      <c r="E40" s="274"/>
      <c r="F40" s="274"/>
      <c r="G40" s="274"/>
      <c r="H40" s="274"/>
      <c r="I40" s="274"/>
      <c r="J40" s="274"/>
      <c r="K40" s="275"/>
      <c r="L40" s="39"/>
    </row>
    <row r="41" spans="1:12" ht="12.75">
      <c r="A41" s="39"/>
      <c r="B41" s="273"/>
      <c r="C41" s="274"/>
      <c r="D41" s="274"/>
      <c r="E41" s="274"/>
      <c r="F41" s="274"/>
      <c r="G41" s="274"/>
      <c r="H41" s="274"/>
      <c r="I41" s="274"/>
      <c r="J41" s="274"/>
      <c r="K41" s="275"/>
      <c r="L41" s="39"/>
    </row>
    <row r="42" spans="1:12" ht="15.75">
      <c r="A42" s="39"/>
      <c r="B42" s="609"/>
      <c r="C42" s="610"/>
      <c r="D42" s="610"/>
      <c r="E42" s="610"/>
      <c r="F42" s="610"/>
      <c r="G42" s="610"/>
      <c r="H42" s="610"/>
      <c r="I42" s="610"/>
      <c r="J42" s="610"/>
      <c r="K42" s="611"/>
      <c r="L42" s="39"/>
    </row>
    <row r="43" spans="1:12" ht="12.75">
      <c r="A43" s="39"/>
      <c r="B43" s="273"/>
      <c r="C43" s="274"/>
      <c r="D43" s="274"/>
      <c r="E43" s="274"/>
      <c r="F43" s="274"/>
      <c r="G43" s="274"/>
      <c r="H43" s="274"/>
      <c r="I43" s="274"/>
      <c r="J43" s="274"/>
      <c r="K43" s="275"/>
      <c r="L43" s="39"/>
    </row>
    <row r="44" spans="1:12" ht="12.75">
      <c r="A44" s="39"/>
      <c r="B44" s="273"/>
      <c r="C44" s="623"/>
      <c r="D44" s="623"/>
      <c r="E44" s="612"/>
      <c r="F44" s="613"/>
      <c r="G44" s="612"/>
      <c r="H44" s="612"/>
      <c r="I44" s="613"/>
      <c r="J44" s="274"/>
      <c r="K44" s="275"/>
      <c r="L44" s="39"/>
    </row>
    <row r="45" spans="1:12" ht="12.75">
      <c r="A45" s="39"/>
      <c r="B45" s="273"/>
      <c r="C45" s="623"/>
      <c r="D45" s="623"/>
      <c r="E45" s="310"/>
      <c r="F45" s="310"/>
      <c r="G45" s="310"/>
      <c r="H45" s="310"/>
      <c r="I45" s="310"/>
      <c r="J45" s="274"/>
      <c r="K45" s="275"/>
      <c r="L45" s="39"/>
    </row>
    <row r="46" spans="1:15" ht="12.75">
      <c r="A46" s="39"/>
      <c r="B46" s="273"/>
      <c r="C46" s="597"/>
      <c r="D46" s="597"/>
      <c r="E46" s="300"/>
      <c r="F46" s="301"/>
      <c r="G46" s="300"/>
      <c r="H46" s="300"/>
      <c r="I46" s="301"/>
      <c r="J46" s="274"/>
      <c r="K46" s="275"/>
      <c r="L46" s="39"/>
      <c r="N46" s="297"/>
      <c r="O46" s="297"/>
    </row>
    <row r="47" spans="1:12" ht="12.75">
      <c r="A47" s="39"/>
      <c r="B47" s="273"/>
      <c r="C47" s="274"/>
      <c r="D47" s="274"/>
      <c r="E47" s="274"/>
      <c r="F47" s="274"/>
      <c r="G47" s="274"/>
      <c r="H47" s="274"/>
      <c r="I47" s="274"/>
      <c r="J47" s="274"/>
      <c r="K47" s="275"/>
      <c r="L47" s="39"/>
    </row>
    <row r="48" spans="1:12" ht="12.75">
      <c r="A48" s="39"/>
      <c r="B48" s="273"/>
      <c r="C48" s="274"/>
      <c r="D48" s="274"/>
      <c r="E48" s="274"/>
      <c r="F48" s="274"/>
      <c r="G48" s="274"/>
      <c r="H48" s="274"/>
      <c r="I48" s="274"/>
      <c r="J48" s="274"/>
      <c r="K48" s="275"/>
      <c r="L48" s="39"/>
    </row>
    <row r="49" spans="1:12" ht="12.75">
      <c r="A49" s="39"/>
      <c r="B49" s="273"/>
      <c r="C49" s="274"/>
      <c r="D49" s="274"/>
      <c r="E49" s="274"/>
      <c r="F49" s="274"/>
      <c r="G49" s="274"/>
      <c r="H49" s="274"/>
      <c r="I49" s="274"/>
      <c r="J49" s="274"/>
      <c r="K49" s="275"/>
      <c r="L49" s="39"/>
    </row>
    <row r="50" spans="1:12" ht="13.5" thickBot="1">
      <c r="A50" s="39"/>
      <c r="B50" s="273"/>
      <c r="C50" s="274"/>
      <c r="D50" s="274"/>
      <c r="E50" s="274"/>
      <c r="F50" s="274"/>
      <c r="G50" s="274"/>
      <c r="H50" s="274"/>
      <c r="I50" s="274"/>
      <c r="J50" s="274"/>
      <c r="K50" s="275"/>
      <c r="L50" s="39"/>
    </row>
    <row r="51" spans="1:12" ht="12.75" customHeight="1" thickBot="1">
      <c r="A51" s="39"/>
      <c r="B51" s="273"/>
      <c r="C51" s="274"/>
      <c r="D51" s="616" t="s">
        <v>505</v>
      </c>
      <c r="E51" s="617"/>
      <c r="F51" s="617"/>
      <c r="G51" s="618"/>
      <c r="H51" s="308"/>
      <c r="I51" s="274"/>
      <c r="J51" s="274"/>
      <c r="K51" s="275"/>
      <c r="L51" s="39"/>
    </row>
    <row r="52" spans="1:12" ht="16.5" thickBot="1">
      <c r="A52" s="39"/>
      <c r="B52" s="314"/>
      <c r="C52" s="315"/>
      <c r="D52" s="619" t="s">
        <v>46</v>
      </c>
      <c r="E52" s="620"/>
      <c r="F52" s="425">
        <v>44992</v>
      </c>
      <c r="G52" s="424">
        <v>45352</v>
      </c>
      <c r="H52" s="309"/>
      <c r="I52" s="315"/>
      <c r="J52" s="315"/>
      <c r="K52" s="316"/>
      <c r="L52" s="39"/>
    </row>
    <row r="53" spans="1:12" ht="16.5" thickBot="1">
      <c r="A53" s="39"/>
      <c r="B53" s="288"/>
      <c r="C53" s="289"/>
      <c r="D53" s="614" t="s">
        <v>62</v>
      </c>
      <c r="E53" s="615"/>
      <c r="F53" s="311">
        <v>53</v>
      </c>
      <c r="G53" s="312">
        <v>29</v>
      </c>
      <c r="H53" s="313"/>
      <c r="I53" s="289"/>
      <c r="J53" s="289"/>
      <c r="K53" s="290"/>
      <c r="L53" s="39"/>
    </row>
    <row r="54" spans="1:12" ht="12.75">
      <c r="A54" s="39"/>
      <c r="B54" s="273"/>
      <c r="C54" s="274"/>
      <c r="D54" s="274"/>
      <c r="E54" s="274"/>
      <c r="F54" s="274"/>
      <c r="G54" s="274"/>
      <c r="H54" s="274"/>
      <c r="I54" s="274"/>
      <c r="J54" s="274"/>
      <c r="K54" s="275"/>
      <c r="L54" s="39"/>
    </row>
    <row r="55" spans="1:12" ht="12.75">
      <c r="A55" s="39"/>
      <c r="B55" s="273"/>
      <c r="C55" s="274"/>
      <c r="D55" s="274"/>
      <c r="E55" s="274"/>
      <c r="F55" s="274"/>
      <c r="G55" s="274"/>
      <c r="H55" s="274"/>
      <c r="I55" s="274"/>
      <c r="J55" s="274"/>
      <c r="K55" s="275"/>
      <c r="L55" s="39"/>
    </row>
    <row r="56" spans="1:12" ht="12.75">
      <c r="A56" s="39"/>
      <c r="B56" s="273"/>
      <c r="C56" s="613"/>
      <c r="D56" s="624"/>
      <c r="E56" s="624"/>
      <c r="F56" s="624"/>
      <c r="G56" s="624"/>
      <c r="H56" s="624"/>
      <c r="I56" s="624"/>
      <c r="J56" s="274"/>
      <c r="K56" s="275"/>
      <c r="L56" s="39"/>
    </row>
    <row r="57" spans="1:24" ht="12.75">
      <c r="A57" s="39"/>
      <c r="B57" s="273"/>
      <c r="C57" s="560"/>
      <c r="D57" s="560"/>
      <c r="E57" s="300"/>
      <c r="F57" s="301"/>
      <c r="G57" s="300"/>
      <c r="H57" s="300"/>
      <c r="I57" s="301"/>
      <c r="J57" s="317"/>
      <c r="K57" s="275"/>
      <c r="L57" s="39"/>
      <c r="U57" s="298"/>
      <c r="V57" s="299"/>
      <c r="W57" s="298"/>
      <c r="X57" s="299"/>
    </row>
    <row r="58" spans="1:24" ht="12.75">
      <c r="A58" s="39"/>
      <c r="B58" s="273"/>
      <c r="C58" s="318"/>
      <c r="D58" s="318"/>
      <c r="E58" s="300"/>
      <c r="F58" s="301"/>
      <c r="G58" s="300"/>
      <c r="H58" s="300"/>
      <c r="I58" s="301"/>
      <c r="J58" s="317"/>
      <c r="K58" s="275"/>
      <c r="L58" s="39"/>
      <c r="U58" s="298"/>
      <c r="V58" s="299"/>
      <c r="W58" s="298"/>
      <c r="X58" s="299"/>
    </row>
    <row r="59" spans="1:24" ht="12.75">
      <c r="A59" s="39"/>
      <c r="B59" s="273"/>
      <c r="C59" s="318"/>
      <c r="D59" s="318"/>
      <c r="E59" s="300"/>
      <c r="F59" s="301"/>
      <c r="G59" s="300"/>
      <c r="H59" s="300"/>
      <c r="I59" s="301"/>
      <c r="J59" s="317"/>
      <c r="K59" s="275"/>
      <c r="L59" s="39"/>
      <c r="U59" s="298"/>
      <c r="V59" s="299"/>
      <c r="W59" s="298"/>
      <c r="X59" s="299"/>
    </row>
    <row r="60" spans="1:24" ht="12.75">
      <c r="A60" s="39"/>
      <c r="B60" s="273"/>
      <c r="C60" s="318"/>
      <c r="D60" s="318"/>
      <c r="E60" s="300"/>
      <c r="F60" s="301"/>
      <c r="G60" s="300"/>
      <c r="H60" s="300"/>
      <c r="I60" s="301"/>
      <c r="J60" s="317"/>
      <c r="K60" s="275"/>
      <c r="L60" s="39"/>
      <c r="U60" s="298"/>
      <c r="V60" s="299"/>
      <c r="W60" s="298"/>
      <c r="X60" s="299"/>
    </row>
    <row r="61" spans="1:24" ht="12.75">
      <c r="A61" s="39"/>
      <c r="B61" s="273"/>
      <c r="C61" s="560"/>
      <c r="D61" s="560"/>
      <c r="E61" s="300"/>
      <c r="F61" s="301"/>
      <c r="G61" s="300"/>
      <c r="H61" s="300"/>
      <c r="I61" s="301"/>
      <c r="J61" s="317"/>
      <c r="K61" s="275"/>
      <c r="L61" s="39"/>
      <c r="U61" s="298"/>
      <c r="V61" s="299"/>
      <c r="W61" s="298"/>
      <c r="X61" s="299"/>
    </row>
    <row r="62" spans="1:24" ht="12.75">
      <c r="A62" s="39"/>
      <c r="B62" s="273"/>
      <c r="C62" s="560"/>
      <c r="D62" s="560"/>
      <c r="E62" s="300"/>
      <c r="F62" s="301"/>
      <c r="G62" s="300"/>
      <c r="H62" s="300"/>
      <c r="I62" s="301"/>
      <c r="J62" s="317"/>
      <c r="K62" s="275"/>
      <c r="L62" s="39"/>
      <c r="U62" s="298"/>
      <c r="V62" s="299"/>
      <c r="W62" s="298"/>
      <c r="X62" s="299"/>
    </row>
    <row r="63" spans="1:24" ht="12.75">
      <c r="A63" s="39"/>
      <c r="B63" s="273"/>
      <c r="C63" s="560"/>
      <c r="D63" s="560"/>
      <c r="E63" s="300"/>
      <c r="F63" s="301"/>
      <c r="G63" s="300"/>
      <c r="H63" s="300"/>
      <c r="I63" s="301"/>
      <c r="J63" s="317"/>
      <c r="K63" s="275"/>
      <c r="L63" s="39"/>
      <c r="U63" s="298"/>
      <c r="V63" s="299"/>
      <c r="W63" s="298"/>
      <c r="X63" s="299"/>
    </row>
    <row r="64" spans="1:24" ht="12.75">
      <c r="A64" s="39"/>
      <c r="B64" s="273"/>
      <c r="C64" s="560"/>
      <c r="D64" s="560"/>
      <c r="E64" s="300"/>
      <c r="F64" s="301"/>
      <c r="G64" s="300"/>
      <c r="H64" s="300"/>
      <c r="I64" s="301"/>
      <c r="J64" s="317"/>
      <c r="K64" s="275"/>
      <c r="L64" s="39"/>
      <c r="U64" s="298"/>
      <c r="V64" s="299"/>
      <c r="W64" s="298"/>
      <c r="X64" s="299"/>
    </row>
    <row r="65" spans="1:24" ht="12.75">
      <c r="A65" s="39"/>
      <c r="B65" s="273"/>
      <c r="C65" s="318"/>
      <c r="D65" s="318"/>
      <c r="E65" s="300"/>
      <c r="F65" s="301"/>
      <c r="G65" s="300"/>
      <c r="H65" s="300"/>
      <c r="I65" s="301"/>
      <c r="J65" s="317"/>
      <c r="K65" s="275"/>
      <c r="L65" s="39"/>
      <c r="U65" s="298"/>
      <c r="V65" s="299"/>
      <c r="W65" s="298"/>
      <c r="X65" s="299"/>
    </row>
    <row r="66" spans="1:24" ht="12.75">
      <c r="A66" s="39"/>
      <c r="B66" s="273"/>
      <c r="C66" s="318"/>
      <c r="D66" s="318"/>
      <c r="E66" s="300"/>
      <c r="F66" s="301"/>
      <c r="G66" s="300"/>
      <c r="H66" s="300"/>
      <c r="I66" s="301"/>
      <c r="J66" s="317"/>
      <c r="K66" s="275"/>
      <c r="L66" s="39"/>
      <c r="U66" s="298"/>
      <c r="V66" s="299"/>
      <c r="W66" s="298"/>
      <c r="X66" s="299"/>
    </row>
    <row r="67" spans="1:24" ht="12.75">
      <c r="A67" s="39"/>
      <c r="B67" s="273"/>
      <c r="C67" s="318"/>
      <c r="D67" s="318"/>
      <c r="E67" s="300"/>
      <c r="F67" s="301"/>
      <c r="G67" s="300"/>
      <c r="H67" s="300"/>
      <c r="I67" s="301"/>
      <c r="J67" s="317"/>
      <c r="K67" s="275"/>
      <c r="L67" s="39"/>
      <c r="U67" s="298"/>
      <c r="V67" s="299"/>
      <c r="W67" s="298"/>
      <c r="X67" s="299"/>
    </row>
    <row r="68" spans="1:24" ht="12.75">
      <c r="A68" s="39"/>
      <c r="B68" s="273"/>
      <c r="C68" s="560"/>
      <c r="D68" s="560"/>
      <c r="E68" s="300"/>
      <c r="F68" s="302"/>
      <c r="G68" s="300"/>
      <c r="H68" s="300"/>
      <c r="I68" s="302"/>
      <c r="J68" s="317"/>
      <c r="K68" s="275"/>
      <c r="L68" s="39"/>
      <c r="U68" s="298"/>
      <c r="V68" s="303"/>
      <c r="W68" s="298"/>
      <c r="X68" s="303"/>
    </row>
    <row r="69" spans="1:24" ht="12.75">
      <c r="A69" s="39"/>
      <c r="B69" s="273"/>
      <c r="C69" s="318"/>
      <c r="D69" s="318"/>
      <c r="E69" s="300"/>
      <c r="F69" s="302"/>
      <c r="G69" s="300"/>
      <c r="H69" s="300"/>
      <c r="I69" s="302"/>
      <c r="J69" s="317"/>
      <c r="K69" s="275"/>
      <c r="L69" s="39"/>
      <c r="U69" s="298"/>
      <c r="V69" s="303"/>
      <c r="W69" s="298"/>
      <c r="X69" s="303"/>
    </row>
    <row r="70" spans="1:24" ht="12.75">
      <c r="A70" s="39"/>
      <c r="B70" s="273"/>
      <c r="C70" s="573"/>
      <c r="D70" s="573"/>
      <c r="E70" s="300"/>
      <c r="F70" s="302"/>
      <c r="G70" s="300"/>
      <c r="H70" s="300"/>
      <c r="I70" s="302"/>
      <c r="J70" s="317"/>
      <c r="K70" s="275"/>
      <c r="L70" s="39"/>
      <c r="N70" s="304"/>
      <c r="U70" s="298"/>
      <c r="V70" s="303"/>
      <c r="W70" s="298"/>
      <c r="X70" s="303"/>
    </row>
    <row r="71" spans="1:12" ht="13.5" thickBot="1">
      <c r="A71" s="39"/>
      <c r="B71" s="283"/>
      <c r="C71" s="576"/>
      <c r="D71" s="576"/>
      <c r="E71" s="319"/>
      <c r="F71" s="319"/>
      <c r="G71" s="319"/>
      <c r="H71" s="319"/>
      <c r="I71" s="319"/>
      <c r="J71" s="320"/>
      <c r="K71" s="285"/>
      <c r="L71" s="39"/>
    </row>
    <row r="72" spans="1:12" ht="13.5" thickTop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 hidden="1">
      <c r="A73" s="39"/>
      <c r="L73" s="39"/>
    </row>
    <row r="74" spans="1:12" ht="12.75" hidden="1">
      <c r="A74" s="39"/>
      <c r="L74" s="39"/>
    </row>
    <row r="75" spans="1:12" ht="12.75" hidden="1">
      <c r="A75" s="39"/>
      <c r="L75" s="39"/>
    </row>
    <row r="76" spans="1:12" ht="12.75" hidden="1">
      <c r="A76" s="39"/>
      <c r="L76" s="39"/>
    </row>
    <row r="77" spans="1:12" ht="12.75" hidden="1">
      <c r="A77" s="39"/>
      <c r="L77" s="39"/>
    </row>
    <row r="78" spans="1:12" ht="12.75" hidden="1">
      <c r="A78" s="39"/>
      <c r="L78" s="39"/>
    </row>
    <row r="79" spans="1:12" ht="12.75" hidden="1">
      <c r="A79" s="39"/>
      <c r="L79" s="39"/>
    </row>
    <row r="80" spans="1:12" ht="12.75" hidden="1">
      <c r="A80" s="39"/>
      <c r="L80" s="39"/>
    </row>
    <row r="81" spans="1:12" ht="12.75" hidden="1">
      <c r="A81" s="39"/>
      <c r="L81" s="39"/>
    </row>
    <row r="82" spans="1:12" ht="12.75" hidden="1">
      <c r="A82" s="39"/>
      <c r="L82" s="39"/>
    </row>
    <row r="83" spans="1:12" ht="12.75" hidden="1">
      <c r="A83" s="39"/>
      <c r="L83" s="39"/>
    </row>
    <row r="84" spans="1:12" ht="12.75" hidden="1">
      <c r="A84" s="39"/>
      <c r="L84" s="39"/>
    </row>
    <row r="85" spans="1:12" ht="12.75" hidden="1">
      <c r="A85" s="39"/>
      <c r="L85" s="39"/>
    </row>
    <row r="86" spans="1:12" ht="12.75" hidden="1">
      <c r="A86" s="39"/>
      <c r="L86" s="39"/>
    </row>
    <row r="87" spans="1:12" ht="12.75" hidden="1">
      <c r="A87" s="39"/>
      <c r="L87" s="39"/>
    </row>
    <row r="88" spans="1:12" ht="12.75" hidden="1">
      <c r="A88" s="39"/>
      <c r="L88" s="39"/>
    </row>
    <row r="89" spans="1:12" ht="12.75" hidden="1">
      <c r="A89" s="39"/>
      <c r="L89" s="39"/>
    </row>
    <row r="90" spans="1:12" ht="12.75" hidden="1">
      <c r="A90" s="39"/>
      <c r="L90" s="39"/>
    </row>
    <row r="91" spans="1:12" ht="12.75" hidden="1">
      <c r="A91" s="39"/>
      <c r="L91" s="39"/>
    </row>
    <row r="92" spans="1:12" ht="12.75" hidden="1">
      <c r="A92" s="39"/>
      <c r="L92" s="39"/>
    </row>
    <row r="93" spans="1:12" ht="12.75" hidden="1">
      <c r="A93" s="39"/>
      <c r="L93" s="39"/>
    </row>
  </sheetData>
  <sheetProtection/>
  <mergeCells count="31">
    <mergeCell ref="B2:K2"/>
    <mergeCell ref="C10:D10"/>
    <mergeCell ref="C11:D11"/>
    <mergeCell ref="C9:D9"/>
    <mergeCell ref="D8:G8"/>
    <mergeCell ref="D7:G7"/>
    <mergeCell ref="D6:I6"/>
    <mergeCell ref="B3:K3"/>
    <mergeCell ref="C71:D71"/>
    <mergeCell ref="U6:V6"/>
    <mergeCell ref="W6:X6"/>
    <mergeCell ref="C70:D70"/>
    <mergeCell ref="C64:D64"/>
    <mergeCell ref="C68:D68"/>
    <mergeCell ref="C61:D61"/>
    <mergeCell ref="C44:D45"/>
    <mergeCell ref="E44:F44"/>
    <mergeCell ref="D31:G31"/>
    <mergeCell ref="D32:E32"/>
    <mergeCell ref="D33:E33"/>
    <mergeCell ref="C12:D12"/>
    <mergeCell ref="C63:D63"/>
    <mergeCell ref="C57:D57"/>
    <mergeCell ref="C56:I56"/>
    <mergeCell ref="B42:K42"/>
    <mergeCell ref="C62:D62"/>
    <mergeCell ref="G44:I44"/>
    <mergeCell ref="D53:E53"/>
    <mergeCell ref="C46:D46"/>
    <mergeCell ref="D51:G51"/>
    <mergeCell ref="D52:E5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6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2.75" zeroHeight="1"/>
  <cols>
    <col min="1" max="1" width="5.00390625" style="238" customWidth="1"/>
    <col min="2" max="2" width="6.28125" style="238" customWidth="1"/>
    <col min="3" max="3" width="6.00390625" style="238" customWidth="1"/>
    <col min="4" max="5" width="15.57421875" style="238" customWidth="1"/>
    <col min="6" max="6" width="15.8515625" style="238" customWidth="1"/>
    <col min="7" max="7" width="16.140625" style="238" customWidth="1"/>
    <col min="8" max="8" width="9.28125" style="238" customWidth="1"/>
    <col min="9" max="9" width="15.57421875" style="238" customWidth="1"/>
    <col min="10" max="10" width="6.140625" style="238" customWidth="1"/>
    <col min="11" max="11" width="6.28125" style="238" customWidth="1"/>
    <col min="12" max="12" width="3.28125" style="238" customWidth="1"/>
    <col min="13" max="13" width="4.00390625" style="238" customWidth="1"/>
    <col min="14" max="20" width="0" style="238" hidden="1" customWidth="1"/>
    <col min="21" max="16384" width="11.421875" style="238" hidden="1" customWidth="1"/>
  </cols>
  <sheetData>
    <row r="1" spans="1:12" ht="13.5" thickBo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3.5" thickTop="1">
      <c r="A2" s="39"/>
      <c r="B2" s="265"/>
      <c r="C2" s="266"/>
      <c r="D2" s="266"/>
      <c r="E2" s="266"/>
      <c r="F2" s="266"/>
      <c r="G2" s="266"/>
      <c r="H2" s="266"/>
      <c r="I2" s="266"/>
      <c r="J2" s="266"/>
      <c r="K2" s="267"/>
      <c r="L2" s="39"/>
    </row>
    <row r="3" spans="1:20" ht="16.5" thickBot="1">
      <c r="A3" s="39"/>
      <c r="B3" s="630" t="s">
        <v>458</v>
      </c>
      <c r="C3" s="631"/>
      <c r="D3" s="631"/>
      <c r="E3" s="631"/>
      <c r="F3" s="631"/>
      <c r="G3" s="631"/>
      <c r="H3" s="631"/>
      <c r="I3" s="631"/>
      <c r="J3" s="631"/>
      <c r="K3" s="632"/>
      <c r="L3" s="39"/>
      <c r="N3" s="268"/>
      <c r="O3" s="268"/>
      <c r="P3" s="268"/>
      <c r="Q3" s="268"/>
      <c r="R3" s="269"/>
      <c r="S3" s="269"/>
      <c r="T3" s="269"/>
    </row>
    <row r="4" spans="1:20" ht="13.5" thickTop="1">
      <c r="A4" s="39"/>
      <c r="B4" s="265"/>
      <c r="C4" s="266"/>
      <c r="D4" s="266"/>
      <c r="E4" s="266"/>
      <c r="F4" s="266"/>
      <c r="G4" s="266"/>
      <c r="H4" s="266"/>
      <c r="I4" s="266"/>
      <c r="J4" s="266"/>
      <c r="K4" s="267"/>
      <c r="L4" s="39"/>
      <c r="N4" s="270"/>
      <c r="O4" s="271"/>
      <c r="P4" s="272"/>
      <c r="Q4" s="272"/>
      <c r="R4" s="269"/>
      <c r="S4" s="269"/>
      <c r="T4" s="269"/>
    </row>
    <row r="5" spans="1:20" ht="13.5" thickBot="1">
      <c r="A5" s="39"/>
      <c r="B5" s="273"/>
      <c r="C5" s="274"/>
      <c r="D5" s="274"/>
      <c r="E5" s="274"/>
      <c r="F5" s="274"/>
      <c r="G5" s="274"/>
      <c r="H5" s="274"/>
      <c r="I5" s="274"/>
      <c r="J5" s="274"/>
      <c r="K5" s="275"/>
      <c r="L5" s="39"/>
      <c r="N5" s="270"/>
      <c r="O5" s="271"/>
      <c r="P5" s="272"/>
      <c r="Q5" s="272"/>
      <c r="R5" s="269"/>
      <c r="S5" s="269"/>
      <c r="T5" s="269"/>
    </row>
    <row r="6" spans="1:20" ht="14.25" customHeight="1" thickBot="1">
      <c r="A6" s="39"/>
      <c r="B6" s="273"/>
      <c r="C6" s="274"/>
      <c r="D6" s="274"/>
      <c r="E6" s="627" t="s">
        <v>501</v>
      </c>
      <c r="F6" s="628"/>
      <c r="G6" s="628"/>
      <c r="H6" s="629"/>
      <c r="I6" s="274"/>
      <c r="J6" s="274"/>
      <c r="K6" s="275"/>
      <c r="L6" s="39"/>
      <c r="N6" s="270"/>
      <c r="O6" s="271"/>
      <c r="P6" s="272"/>
      <c r="Q6" s="272"/>
      <c r="R6" s="269"/>
      <c r="S6" s="269"/>
      <c r="T6" s="269"/>
    </row>
    <row r="7" spans="1:20" ht="24.75" customHeight="1">
      <c r="A7" s="39"/>
      <c r="B7" s="273"/>
      <c r="C7" s="274"/>
      <c r="D7" s="274"/>
      <c r="E7" s="426" t="s">
        <v>77</v>
      </c>
      <c r="F7" s="427" t="s">
        <v>201</v>
      </c>
      <c r="G7" s="427" t="s">
        <v>78</v>
      </c>
      <c r="H7" s="428" t="s">
        <v>79</v>
      </c>
      <c r="I7" s="274"/>
      <c r="J7" s="274"/>
      <c r="K7" s="275"/>
      <c r="L7" s="39"/>
      <c r="N7" s="270"/>
      <c r="O7" s="271"/>
      <c r="P7" s="272"/>
      <c r="Q7" s="272"/>
      <c r="R7" s="269"/>
      <c r="S7" s="269"/>
      <c r="T7" s="269"/>
    </row>
    <row r="8" spans="1:20" ht="12.75" customHeight="1">
      <c r="A8" s="39"/>
      <c r="B8" s="273"/>
      <c r="C8" s="274"/>
      <c r="D8" s="274"/>
      <c r="E8" s="456">
        <v>45292</v>
      </c>
      <c r="F8" s="276">
        <v>0.08973132907795499</v>
      </c>
      <c r="G8" s="277">
        <v>0.1014</v>
      </c>
      <c r="H8" s="278">
        <v>-0.011668670922045016</v>
      </c>
      <c r="I8" s="274"/>
      <c r="J8" s="274"/>
      <c r="K8" s="275"/>
      <c r="L8" s="39"/>
      <c r="N8" s="270"/>
      <c r="O8" s="271"/>
      <c r="P8" s="272"/>
      <c r="Q8" s="272"/>
      <c r="R8" s="269"/>
      <c r="S8" s="269"/>
      <c r="T8" s="269"/>
    </row>
    <row r="9" spans="1:20" ht="12.75" customHeight="1">
      <c r="A9" s="39"/>
      <c r="B9" s="273"/>
      <c r="C9" s="274"/>
      <c r="D9" s="274"/>
      <c r="E9" s="456">
        <v>45323</v>
      </c>
      <c r="F9" s="276">
        <v>0.08699212622458313</v>
      </c>
      <c r="G9" s="277">
        <v>0.1034</v>
      </c>
      <c r="H9" s="278">
        <v>-0.016407873775416873</v>
      </c>
      <c r="I9" s="274"/>
      <c r="J9" s="274"/>
      <c r="K9" s="275"/>
      <c r="L9" s="39"/>
      <c r="N9" s="270"/>
      <c r="O9" s="271"/>
      <c r="P9" s="272"/>
      <c r="Q9" s="272"/>
      <c r="R9" s="269"/>
      <c r="S9" s="269"/>
      <c r="T9" s="269"/>
    </row>
    <row r="10" spans="1:20" ht="12.75" customHeight="1">
      <c r="A10" s="39"/>
      <c r="B10" s="273"/>
      <c r="C10" s="274"/>
      <c r="D10" s="274"/>
      <c r="E10" s="456">
        <v>45352</v>
      </c>
      <c r="F10" s="276">
        <v>0.10754732133527745</v>
      </c>
      <c r="G10" s="277">
        <v>0.1053</v>
      </c>
      <c r="H10" s="278">
        <v>0.0022473213352774413</v>
      </c>
      <c r="I10" s="274"/>
      <c r="J10" s="274"/>
      <c r="K10" s="275"/>
      <c r="L10" s="39"/>
      <c r="N10" s="270"/>
      <c r="O10" s="271"/>
      <c r="P10" s="272"/>
      <c r="Q10" s="272"/>
      <c r="R10" s="269"/>
      <c r="S10" s="269"/>
      <c r="T10" s="269"/>
    </row>
    <row r="11" spans="1:20" ht="12.75" customHeight="1">
      <c r="A11" s="39"/>
      <c r="B11" s="273"/>
      <c r="C11" s="274"/>
      <c r="D11" s="274"/>
      <c r="E11" s="456"/>
      <c r="F11" s="276"/>
      <c r="G11" s="277"/>
      <c r="H11" s="278"/>
      <c r="I11" s="274"/>
      <c r="J11" s="274"/>
      <c r="K11" s="275"/>
      <c r="L11" s="39"/>
      <c r="N11" s="270"/>
      <c r="O11" s="271"/>
      <c r="P11" s="272"/>
      <c r="Q11" s="272"/>
      <c r="R11" s="269"/>
      <c r="S11" s="269"/>
      <c r="T11" s="269"/>
    </row>
    <row r="12" spans="1:20" ht="12.75" customHeight="1">
      <c r="A12" s="39"/>
      <c r="B12" s="273"/>
      <c r="C12" s="274"/>
      <c r="D12" s="274"/>
      <c r="E12" s="456"/>
      <c r="F12" s="276"/>
      <c r="G12" s="277"/>
      <c r="H12" s="278"/>
      <c r="I12" s="274"/>
      <c r="J12" s="274"/>
      <c r="K12" s="275"/>
      <c r="L12" s="39"/>
      <c r="N12" s="268"/>
      <c r="O12" s="268"/>
      <c r="P12" s="268"/>
      <c r="Q12" s="269"/>
      <c r="R12" s="269"/>
      <c r="S12" s="269"/>
      <c r="T12" s="269"/>
    </row>
    <row r="13" spans="1:20" ht="12.75" customHeight="1">
      <c r="A13" s="39"/>
      <c r="B13" s="273"/>
      <c r="C13" s="274"/>
      <c r="D13" s="274"/>
      <c r="E13" s="479"/>
      <c r="F13" s="276"/>
      <c r="G13" s="277"/>
      <c r="H13" s="278"/>
      <c r="I13" s="274"/>
      <c r="J13" s="274"/>
      <c r="K13" s="275"/>
      <c r="L13" s="39"/>
      <c r="N13" s="269"/>
      <c r="O13" s="269"/>
      <c r="P13" s="269"/>
      <c r="Q13" s="269"/>
      <c r="R13" s="269"/>
      <c r="S13" s="269"/>
      <c r="T13" s="269"/>
    </row>
    <row r="14" spans="1:20" ht="12.75" customHeight="1">
      <c r="A14" s="39"/>
      <c r="B14" s="273"/>
      <c r="C14" s="274"/>
      <c r="D14" s="274"/>
      <c r="E14" s="479"/>
      <c r="F14" s="276"/>
      <c r="G14" s="277"/>
      <c r="H14" s="278"/>
      <c r="I14" s="274"/>
      <c r="J14" s="274"/>
      <c r="K14" s="275"/>
      <c r="L14" s="39"/>
      <c r="N14" s="269"/>
      <c r="O14" s="269"/>
      <c r="P14" s="269"/>
      <c r="Q14" s="269"/>
      <c r="R14" s="269"/>
      <c r="S14" s="269"/>
      <c r="T14" s="269"/>
    </row>
    <row r="15" spans="1:20" ht="12.75" customHeight="1">
      <c r="A15" s="39"/>
      <c r="B15" s="273"/>
      <c r="C15" s="274"/>
      <c r="D15" s="274"/>
      <c r="E15" s="479"/>
      <c r="F15" s="276"/>
      <c r="G15" s="277"/>
      <c r="H15" s="278"/>
      <c r="I15" s="274"/>
      <c r="J15" s="274"/>
      <c r="K15" s="275"/>
      <c r="L15" s="39"/>
      <c r="N15" s="269"/>
      <c r="O15" s="269"/>
      <c r="P15" s="269"/>
      <c r="Q15" s="269"/>
      <c r="R15" s="269"/>
      <c r="S15" s="269"/>
      <c r="T15" s="269"/>
    </row>
    <row r="16" spans="1:20" ht="12.75" customHeight="1">
      <c r="A16" s="39"/>
      <c r="B16" s="273"/>
      <c r="C16" s="274"/>
      <c r="D16" s="274"/>
      <c r="E16" s="456"/>
      <c r="F16" s="276"/>
      <c r="G16" s="277"/>
      <c r="H16" s="278"/>
      <c r="I16" s="274"/>
      <c r="J16" s="274"/>
      <c r="K16" s="275"/>
      <c r="L16" s="39"/>
      <c r="N16" s="269"/>
      <c r="O16" s="269"/>
      <c r="P16" s="269"/>
      <c r="Q16" s="269"/>
      <c r="R16" s="269"/>
      <c r="S16" s="269"/>
      <c r="T16" s="269"/>
    </row>
    <row r="17" spans="1:20" ht="12.75" customHeight="1">
      <c r="A17" s="39"/>
      <c r="B17" s="273"/>
      <c r="C17" s="274"/>
      <c r="D17" s="274"/>
      <c r="E17" s="479"/>
      <c r="F17" s="276"/>
      <c r="G17" s="277"/>
      <c r="H17" s="278"/>
      <c r="I17" s="274"/>
      <c r="J17" s="274"/>
      <c r="K17" s="275"/>
      <c r="L17" s="39"/>
      <c r="N17" s="269"/>
      <c r="O17" s="269"/>
      <c r="P17" s="269"/>
      <c r="Q17" s="269"/>
      <c r="R17" s="269"/>
      <c r="S17" s="269"/>
      <c r="T17" s="269"/>
    </row>
    <row r="18" spans="1:12" ht="12.75" customHeight="1">
      <c r="A18" s="39"/>
      <c r="B18" s="273"/>
      <c r="C18" s="274"/>
      <c r="D18" s="274"/>
      <c r="E18" s="479"/>
      <c r="F18" s="276"/>
      <c r="G18" s="277"/>
      <c r="H18" s="278"/>
      <c r="I18" s="279"/>
      <c r="J18" s="274"/>
      <c r="K18" s="275"/>
      <c r="L18" s="39"/>
    </row>
    <row r="19" spans="1:12" ht="13.5" thickBot="1">
      <c r="A19" s="39"/>
      <c r="B19" s="273"/>
      <c r="C19" s="274"/>
      <c r="D19" s="274"/>
      <c r="E19" s="479"/>
      <c r="F19" s="276"/>
      <c r="G19" s="277"/>
      <c r="H19" s="278"/>
      <c r="I19" s="274"/>
      <c r="J19" s="274"/>
      <c r="K19" s="275"/>
      <c r="L19" s="39"/>
    </row>
    <row r="20" spans="1:12" ht="13.5" thickBot="1">
      <c r="A20" s="39"/>
      <c r="B20" s="273"/>
      <c r="C20" s="274"/>
      <c r="D20" s="274"/>
      <c r="E20" s="490" t="s">
        <v>80</v>
      </c>
      <c r="F20" s="280">
        <v>0.09475692554593852</v>
      </c>
      <c r="G20" s="280">
        <v>0.10336666666666668</v>
      </c>
      <c r="H20" s="480">
        <v>-0.008609741120728149</v>
      </c>
      <c r="I20" s="274"/>
      <c r="J20" s="274"/>
      <c r="K20" s="275"/>
      <c r="L20" s="39"/>
    </row>
    <row r="21" spans="1:12" ht="12.75">
      <c r="A21" s="39"/>
      <c r="B21" s="273"/>
      <c r="C21" s="274"/>
      <c r="D21" s="274"/>
      <c r="E21" s="274"/>
      <c r="F21" s="274"/>
      <c r="G21" s="274"/>
      <c r="H21" s="274"/>
      <c r="I21" s="274"/>
      <c r="J21" s="274"/>
      <c r="K21" s="275"/>
      <c r="L21" s="39"/>
    </row>
    <row r="22" spans="1:12" ht="12.75">
      <c r="A22" s="39"/>
      <c r="B22" s="273"/>
      <c r="C22" s="274"/>
      <c r="D22" s="274"/>
      <c r="E22" s="274"/>
      <c r="F22" s="274"/>
      <c r="G22" s="274"/>
      <c r="H22" s="274"/>
      <c r="I22" s="274"/>
      <c r="J22" s="274"/>
      <c r="K22" s="275"/>
      <c r="L22" s="39"/>
    </row>
    <row r="23" spans="1:12" ht="12.75">
      <c r="A23" s="39"/>
      <c r="B23" s="273"/>
      <c r="C23" s="274"/>
      <c r="D23" s="274"/>
      <c r="E23" s="274"/>
      <c r="F23" s="274"/>
      <c r="G23" s="274"/>
      <c r="H23" s="274"/>
      <c r="I23" s="274"/>
      <c r="J23" s="274"/>
      <c r="K23" s="275"/>
      <c r="L23" s="39"/>
    </row>
    <row r="24" spans="1:12" ht="12.75">
      <c r="A24" s="39"/>
      <c r="B24" s="273"/>
      <c r="C24" s="274"/>
      <c r="D24" s="274"/>
      <c r="E24" s="274"/>
      <c r="F24" s="274"/>
      <c r="G24" s="274"/>
      <c r="H24" s="274"/>
      <c r="I24" s="274"/>
      <c r="J24" s="274"/>
      <c r="K24" s="275"/>
      <c r="L24" s="39"/>
    </row>
    <row r="25" spans="1:12" ht="12.75">
      <c r="A25" s="39"/>
      <c r="B25" s="273"/>
      <c r="C25" s="274"/>
      <c r="D25" s="274"/>
      <c r="E25" s="274"/>
      <c r="F25" s="274"/>
      <c r="G25" s="274"/>
      <c r="H25" s="274"/>
      <c r="I25" s="274"/>
      <c r="J25" s="274"/>
      <c r="K25" s="275"/>
      <c r="L25" s="39"/>
    </row>
    <row r="26" spans="1:12" ht="12.75">
      <c r="A26" s="39"/>
      <c r="B26" s="273"/>
      <c r="C26" s="274"/>
      <c r="D26" s="274"/>
      <c r="E26" s="274"/>
      <c r="F26" s="274"/>
      <c r="G26" s="274"/>
      <c r="H26" s="274"/>
      <c r="I26" s="274"/>
      <c r="J26" s="274"/>
      <c r="K26" s="275"/>
      <c r="L26" s="39"/>
    </row>
    <row r="27" spans="1:12" ht="12.75">
      <c r="A27" s="39"/>
      <c r="B27" s="273"/>
      <c r="C27" s="274"/>
      <c r="D27" s="274"/>
      <c r="E27" s="274"/>
      <c r="F27" s="274"/>
      <c r="G27" s="274"/>
      <c r="H27" s="274"/>
      <c r="I27" s="274"/>
      <c r="J27" s="274"/>
      <c r="K27" s="275"/>
      <c r="L27" s="39"/>
    </row>
    <row r="28" spans="1:12" ht="12.75">
      <c r="A28" s="39"/>
      <c r="B28" s="273"/>
      <c r="C28" s="274"/>
      <c r="D28" s="274"/>
      <c r="E28" s="274"/>
      <c r="F28" s="274"/>
      <c r="G28" s="274"/>
      <c r="H28" s="274"/>
      <c r="I28" s="274"/>
      <c r="J28" s="274"/>
      <c r="K28" s="275"/>
      <c r="L28" s="39"/>
    </row>
    <row r="29" spans="1:12" ht="12.75">
      <c r="A29" s="39"/>
      <c r="B29" s="273"/>
      <c r="C29" s="274"/>
      <c r="D29" s="274"/>
      <c r="E29" s="274"/>
      <c r="F29" s="274"/>
      <c r="G29" s="274"/>
      <c r="H29" s="274"/>
      <c r="I29" s="274"/>
      <c r="J29" s="274"/>
      <c r="K29" s="275"/>
      <c r="L29" s="39"/>
    </row>
    <row r="30" spans="1:12" ht="12.75">
      <c r="A30" s="39"/>
      <c r="B30" s="273"/>
      <c r="C30" s="274"/>
      <c r="D30" s="274"/>
      <c r="E30" s="274"/>
      <c r="F30" s="274"/>
      <c r="G30" s="274"/>
      <c r="H30" s="274"/>
      <c r="I30" s="274"/>
      <c r="J30" s="274"/>
      <c r="K30" s="275"/>
      <c r="L30" s="39"/>
    </row>
    <row r="31" spans="1:12" ht="12.75">
      <c r="A31" s="39"/>
      <c r="B31" s="273"/>
      <c r="C31" s="274"/>
      <c r="D31" s="274"/>
      <c r="E31" s="274"/>
      <c r="F31" s="274"/>
      <c r="G31" s="274"/>
      <c r="H31" s="274"/>
      <c r="I31" s="274"/>
      <c r="J31" s="274"/>
      <c r="K31" s="275"/>
      <c r="L31" s="39"/>
    </row>
    <row r="32" spans="1:12" ht="12.75">
      <c r="A32" s="39"/>
      <c r="B32" s="273"/>
      <c r="C32" s="274"/>
      <c r="D32" s="274"/>
      <c r="E32" s="274"/>
      <c r="F32" s="274"/>
      <c r="G32" s="274"/>
      <c r="H32" s="274"/>
      <c r="I32" s="274"/>
      <c r="J32" s="274"/>
      <c r="K32" s="275"/>
      <c r="L32" s="39"/>
    </row>
    <row r="33" spans="1:12" ht="12.75">
      <c r="A33" s="39"/>
      <c r="B33" s="273"/>
      <c r="C33" s="274"/>
      <c r="D33" s="274"/>
      <c r="E33" s="274"/>
      <c r="F33" s="274"/>
      <c r="G33" s="274"/>
      <c r="H33" s="274"/>
      <c r="I33" s="274"/>
      <c r="J33" s="274"/>
      <c r="K33" s="275"/>
      <c r="L33" s="39"/>
    </row>
    <row r="34" spans="1:12" ht="12.75">
      <c r="A34" s="39"/>
      <c r="B34" s="273"/>
      <c r="C34" s="274"/>
      <c r="D34" s="274"/>
      <c r="E34" s="274"/>
      <c r="F34" s="274"/>
      <c r="G34" s="274"/>
      <c r="H34" s="274"/>
      <c r="I34" s="274"/>
      <c r="J34" s="274"/>
      <c r="K34" s="275"/>
      <c r="L34" s="39"/>
    </row>
    <row r="35" spans="1:12" ht="12.75">
      <c r="A35" s="39"/>
      <c r="B35" s="273"/>
      <c r="C35" s="274"/>
      <c r="D35" s="274"/>
      <c r="E35" s="274"/>
      <c r="F35" s="274"/>
      <c r="G35" s="274"/>
      <c r="H35" s="274"/>
      <c r="I35" s="274"/>
      <c r="J35" s="274"/>
      <c r="K35" s="275"/>
      <c r="L35" s="39"/>
    </row>
    <row r="36" spans="1:12" ht="12.75">
      <c r="A36" s="39"/>
      <c r="B36" s="273"/>
      <c r="C36" s="274"/>
      <c r="D36" s="274"/>
      <c r="E36" s="274"/>
      <c r="F36" s="274"/>
      <c r="G36" s="274"/>
      <c r="H36" s="274"/>
      <c r="I36" s="274"/>
      <c r="J36" s="274"/>
      <c r="K36" s="275"/>
      <c r="L36" s="39"/>
    </row>
    <row r="37" spans="1:12" ht="12.75">
      <c r="A37" s="39"/>
      <c r="B37" s="273"/>
      <c r="C37" s="274"/>
      <c r="D37" s="274"/>
      <c r="E37" s="274"/>
      <c r="F37" s="274"/>
      <c r="G37" s="274"/>
      <c r="H37" s="274"/>
      <c r="I37" s="274"/>
      <c r="J37" s="274"/>
      <c r="K37" s="275"/>
      <c r="L37" s="39"/>
    </row>
    <row r="38" spans="1:12" ht="12.75">
      <c r="A38" s="39"/>
      <c r="B38" s="273"/>
      <c r="C38" s="274"/>
      <c r="D38" s="274"/>
      <c r="E38" s="274"/>
      <c r="F38" s="274"/>
      <c r="G38" s="274"/>
      <c r="H38" s="274"/>
      <c r="I38" s="274"/>
      <c r="J38" s="274"/>
      <c r="K38" s="275"/>
      <c r="L38" s="39"/>
    </row>
    <row r="39" spans="1:12" ht="14.25" customHeight="1" thickBot="1">
      <c r="A39" s="39"/>
      <c r="B39" s="273"/>
      <c r="C39" s="274"/>
      <c r="D39" s="274"/>
      <c r="E39" s="274"/>
      <c r="F39" s="274"/>
      <c r="G39" s="274"/>
      <c r="H39" s="274"/>
      <c r="I39" s="274"/>
      <c r="J39" s="274"/>
      <c r="K39" s="275"/>
      <c r="L39" s="39"/>
    </row>
    <row r="40" spans="1:12" ht="24.75" customHeight="1" thickBot="1">
      <c r="A40" s="39"/>
      <c r="B40" s="273"/>
      <c r="C40" s="274"/>
      <c r="D40" s="274"/>
      <c r="E40" s="627" t="s">
        <v>502</v>
      </c>
      <c r="F40" s="628"/>
      <c r="G40" s="628"/>
      <c r="H40" s="629"/>
      <c r="I40" s="274"/>
      <c r="J40" s="274"/>
      <c r="K40" s="275"/>
      <c r="L40" s="39"/>
    </row>
    <row r="41" spans="1:12" ht="12.75" customHeight="1" thickBot="1">
      <c r="A41" s="39"/>
      <c r="B41" s="273"/>
      <c r="C41" s="274"/>
      <c r="D41" s="274"/>
      <c r="E41" s="429" t="s">
        <v>77</v>
      </c>
      <c r="F41" s="412" t="s">
        <v>201</v>
      </c>
      <c r="G41" s="412" t="s">
        <v>81</v>
      </c>
      <c r="H41" s="413" t="s">
        <v>79</v>
      </c>
      <c r="I41" s="274"/>
      <c r="J41" s="274"/>
      <c r="K41" s="275"/>
      <c r="L41" s="39"/>
    </row>
    <row r="42" spans="1:12" ht="12.75" customHeight="1">
      <c r="A42" s="39"/>
      <c r="B42" s="273"/>
      <c r="C42" s="274"/>
      <c r="D42" s="274"/>
      <c r="E42" s="456">
        <v>45292</v>
      </c>
      <c r="F42" s="281">
        <v>0.08973132907795499</v>
      </c>
      <c r="G42" s="281">
        <v>0.0774</v>
      </c>
      <c r="H42" s="278">
        <v>0.012331329077954992</v>
      </c>
      <c r="I42" s="274"/>
      <c r="J42" s="274"/>
      <c r="K42" s="275"/>
      <c r="L42" s="39"/>
    </row>
    <row r="43" spans="1:12" ht="12.75" customHeight="1">
      <c r="A43" s="39"/>
      <c r="B43" s="273"/>
      <c r="C43" s="274"/>
      <c r="D43" s="274"/>
      <c r="E43" s="456">
        <v>45323</v>
      </c>
      <c r="F43" s="281">
        <v>0.08699212622458313</v>
      </c>
      <c r="G43" s="281">
        <v>0.0795</v>
      </c>
      <c r="H43" s="278">
        <v>0.007492126224583132</v>
      </c>
      <c r="I43" s="274"/>
      <c r="J43" s="274"/>
      <c r="K43" s="275"/>
      <c r="L43" s="39"/>
    </row>
    <row r="44" spans="1:12" ht="12.75" customHeight="1">
      <c r="A44" s="39"/>
      <c r="B44" s="273"/>
      <c r="C44" s="274"/>
      <c r="D44" s="274"/>
      <c r="E44" s="456">
        <v>45352</v>
      </c>
      <c r="F44" s="281">
        <v>0.10754732133527745</v>
      </c>
      <c r="G44" s="281">
        <v>0.0793</v>
      </c>
      <c r="H44" s="278">
        <v>0.02824732133527745</v>
      </c>
      <c r="I44" s="274"/>
      <c r="J44" s="274"/>
      <c r="K44" s="275"/>
      <c r="L44" s="39"/>
    </row>
    <row r="45" spans="1:12" ht="12.75" customHeight="1">
      <c r="A45" s="39"/>
      <c r="B45" s="273"/>
      <c r="C45" s="274"/>
      <c r="D45" s="274"/>
      <c r="E45" s="456"/>
      <c r="F45" s="281"/>
      <c r="G45" s="281"/>
      <c r="H45" s="278"/>
      <c r="I45" s="274"/>
      <c r="J45" s="274"/>
      <c r="K45" s="275"/>
      <c r="L45" s="39"/>
    </row>
    <row r="46" spans="1:12" ht="12.75" customHeight="1">
      <c r="A46" s="39"/>
      <c r="B46" s="273"/>
      <c r="C46" s="274"/>
      <c r="D46" s="274"/>
      <c r="E46" s="456"/>
      <c r="F46" s="281"/>
      <c r="G46" s="281"/>
      <c r="H46" s="278"/>
      <c r="I46" s="274"/>
      <c r="J46" s="274"/>
      <c r="K46" s="275"/>
      <c r="L46" s="39"/>
    </row>
    <row r="47" spans="1:12" ht="12.75" customHeight="1">
      <c r="A47" s="39"/>
      <c r="B47" s="273"/>
      <c r="C47" s="274"/>
      <c r="D47" s="274"/>
      <c r="E47" s="456"/>
      <c r="F47" s="276"/>
      <c r="G47" s="281"/>
      <c r="H47" s="278"/>
      <c r="I47" s="274"/>
      <c r="J47" s="274"/>
      <c r="K47" s="275"/>
      <c r="L47" s="39"/>
    </row>
    <row r="48" spans="1:12" ht="12.75" customHeight="1">
      <c r="A48" s="39"/>
      <c r="B48" s="273"/>
      <c r="C48" s="274"/>
      <c r="D48" s="274"/>
      <c r="E48" s="456"/>
      <c r="F48" s="276"/>
      <c r="G48" s="281"/>
      <c r="H48" s="278"/>
      <c r="I48" s="279"/>
      <c r="J48" s="274"/>
      <c r="K48" s="275"/>
      <c r="L48" s="39"/>
    </row>
    <row r="49" spans="1:12" ht="12.75" customHeight="1">
      <c r="A49" s="39"/>
      <c r="B49" s="273"/>
      <c r="C49" s="274"/>
      <c r="D49" s="274"/>
      <c r="E49" s="456"/>
      <c r="F49" s="276"/>
      <c r="G49" s="281"/>
      <c r="H49" s="278"/>
      <c r="I49" s="279"/>
      <c r="J49" s="274"/>
      <c r="K49" s="275"/>
      <c r="L49" s="39"/>
    </row>
    <row r="50" spans="1:12" ht="12.75" customHeight="1">
      <c r="A50" s="39"/>
      <c r="B50" s="273"/>
      <c r="C50" s="274"/>
      <c r="D50" s="274"/>
      <c r="E50" s="456"/>
      <c r="F50" s="276"/>
      <c r="G50" s="281"/>
      <c r="H50" s="278"/>
      <c r="I50" s="274"/>
      <c r="J50" s="274"/>
      <c r="K50" s="275"/>
      <c r="L50" s="39"/>
    </row>
    <row r="51" spans="1:12" ht="12.75" customHeight="1">
      <c r="A51" s="39"/>
      <c r="B51" s="273"/>
      <c r="C51" s="274"/>
      <c r="D51" s="274"/>
      <c r="E51" s="456"/>
      <c r="F51" s="276"/>
      <c r="G51" s="281"/>
      <c r="H51" s="278"/>
      <c r="I51" s="279"/>
      <c r="J51" s="274"/>
      <c r="K51" s="275"/>
      <c r="L51" s="39"/>
    </row>
    <row r="52" spans="1:12" ht="12.75">
      <c r="A52" s="39"/>
      <c r="B52" s="273"/>
      <c r="C52" s="274"/>
      <c r="D52" s="274"/>
      <c r="E52" s="456"/>
      <c r="F52" s="276"/>
      <c r="G52" s="281"/>
      <c r="H52" s="278"/>
      <c r="I52" s="279"/>
      <c r="J52" s="274"/>
      <c r="K52" s="275"/>
      <c r="L52" s="39"/>
    </row>
    <row r="53" spans="1:12" ht="13.5" thickBot="1">
      <c r="A53" s="39"/>
      <c r="B53" s="273"/>
      <c r="C53" s="274"/>
      <c r="D53" s="274"/>
      <c r="E53" s="456"/>
      <c r="F53" s="276"/>
      <c r="G53" s="281"/>
      <c r="H53" s="278"/>
      <c r="I53" s="274"/>
      <c r="J53" s="274"/>
      <c r="K53" s="275"/>
      <c r="L53" s="39"/>
    </row>
    <row r="54" spans="1:12" ht="13.5" thickBot="1">
      <c r="A54" s="39"/>
      <c r="B54" s="273"/>
      <c r="C54" s="274"/>
      <c r="D54" s="274"/>
      <c r="E54" s="491" t="s">
        <v>80</v>
      </c>
      <c r="F54" s="282">
        <v>0.09475692554593852</v>
      </c>
      <c r="G54" s="282">
        <v>0.07873333333333332</v>
      </c>
      <c r="H54" s="282">
        <v>0.01602359221260519</v>
      </c>
      <c r="I54" s="274"/>
      <c r="J54" s="274"/>
      <c r="K54" s="275"/>
      <c r="L54" s="39"/>
    </row>
    <row r="55" spans="1:12" ht="12.75">
      <c r="A55" s="39"/>
      <c r="B55" s="273"/>
      <c r="C55" s="274"/>
      <c r="D55" s="274"/>
      <c r="E55" s="274"/>
      <c r="F55" s="274"/>
      <c r="G55" s="274"/>
      <c r="H55" s="274"/>
      <c r="I55" s="274"/>
      <c r="J55" s="274"/>
      <c r="K55" s="275"/>
      <c r="L55" s="39"/>
    </row>
    <row r="56" spans="1:12" ht="12.75">
      <c r="A56" s="39"/>
      <c r="B56" s="273"/>
      <c r="C56" s="274"/>
      <c r="D56" s="274"/>
      <c r="E56" s="274"/>
      <c r="F56" s="274"/>
      <c r="G56" s="274"/>
      <c r="H56" s="274"/>
      <c r="I56" s="274"/>
      <c r="J56" s="274"/>
      <c r="K56" s="275"/>
      <c r="L56" s="39"/>
    </row>
    <row r="57" spans="1:12" ht="12.75">
      <c r="A57" s="39"/>
      <c r="B57" s="273"/>
      <c r="C57" s="274"/>
      <c r="D57" s="274"/>
      <c r="E57" s="274"/>
      <c r="F57" s="274"/>
      <c r="G57" s="274"/>
      <c r="H57" s="274"/>
      <c r="I57" s="274"/>
      <c r="J57" s="274"/>
      <c r="K57" s="275"/>
      <c r="L57" s="39"/>
    </row>
    <row r="58" spans="1:12" ht="12.75">
      <c r="A58" s="39"/>
      <c r="B58" s="273"/>
      <c r="C58" s="274"/>
      <c r="D58" s="274"/>
      <c r="E58" s="274"/>
      <c r="F58" s="274"/>
      <c r="G58" s="274"/>
      <c r="H58" s="274"/>
      <c r="I58" s="274"/>
      <c r="J58" s="274"/>
      <c r="K58" s="275"/>
      <c r="L58" s="39"/>
    </row>
    <row r="59" spans="1:12" ht="12.75">
      <c r="A59" s="39"/>
      <c r="B59" s="273"/>
      <c r="C59" s="274"/>
      <c r="D59" s="274"/>
      <c r="E59" s="274"/>
      <c r="F59" s="274"/>
      <c r="G59" s="274"/>
      <c r="H59" s="274"/>
      <c r="I59" s="274"/>
      <c r="J59" s="274"/>
      <c r="K59" s="275"/>
      <c r="L59" s="39"/>
    </row>
    <row r="60" spans="1:12" ht="12.75">
      <c r="A60" s="39"/>
      <c r="B60" s="273"/>
      <c r="C60" s="274"/>
      <c r="D60" s="274"/>
      <c r="E60" s="274"/>
      <c r="F60" s="274"/>
      <c r="G60" s="274"/>
      <c r="H60" s="274"/>
      <c r="I60" s="274"/>
      <c r="J60" s="274"/>
      <c r="K60" s="275"/>
      <c r="L60" s="39"/>
    </row>
    <row r="61" spans="1:12" ht="12.75">
      <c r="A61" s="39"/>
      <c r="B61" s="273"/>
      <c r="C61" s="274"/>
      <c r="D61" s="274"/>
      <c r="E61" s="274"/>
      <c r="F61" s="274"/>
      <c r="G61" s="274"/>
      <c r="H61" s="274"/>
      <c r="I61" s="274"/>
      <c r="J61" s="274"/>
      <c r="K61" s="275"/>
      <c r="L61" s="39"/>
    </row>
    <row r="62" spans="1:12" ht="12.75">
      <c r="A62" s="39"/>
      <c r="B62" s="273"/>
      <c r="C62" s="274"/>
      <c r="D62" s="274"/>
      <c r="E62" s="274"/>
      <c r="F62" s="274"/>
      <c r="G62" s="274"/>
      <c r="H62" s="274"/>
      <c r="I62" s="274"/>
      <c r="J62" s="274"/>
      <c r="K62" s="275"/>
      <c r="L62" s="39"/>
    </row>
    <row r="63" spans="1:12" ht="12.75">
      <c r="A63" s="39"/>
      <c r="B63" s="273"/>
      <c r="C63" s="274"/>
      <c r="D63" s="274"/>
      <c r="E63" s="274"/>
      <c r="F63" s="274"/>
      <c r="G63" s="274"/>
      <c r="H63" s="274"/>
      <c r="I63" s="274"/>
      <c r="J63" s="274"/>
      <c r="K63" s="275"/>
      <c r="L63" s="39"/>
    </row>
    <row r="64" spans="1:12" ht="12.75">
      <c r="A64" s="39"/>
      <c r="B64" s="273"/>
      <c r="C64" s="274"/>
      <c r="D64" s="274"/>
      <c r="E64" s="274"/>
      <c r="F64" s="274"/>
      <c r="G64" s="274"/>
      <c r="H64" s="274"/>
      <c r="I64" s="274"/>
      <c r="J64" s="274"/>
      <c r="K64" s="275"/>
      <c r="L64" s="39"/>
    </row>
    <row r="65" spans="1:12" ht="12.75">
      <c r="A65" s="39"/>
      <c r="B65" s="273"/>
      <c r="C65" s="274"/>
      <c r="D65" s="274"/>
      <c r="E65" s="274"/>
      <c r="F65" s="274"/>
      <c r="G65" s="274"/>
      <c r="H65" s="274"/>
      <c r="I65" s="274"/>
      <c r="J65" s="274"/>
      <c r="K65" s="275"/>
      <c r="L65" s="39"/>
    </row>
    <row r="66" spans="1:12" ht="12.75">
      <c r="A66" s="39"/>
      <c r="B66" s="273"/>
      <c r="C66" s="274"/>
      <c r="D66" s="274"/>
      <c r="E66" s="274"/>
      <c r="F66" s="274"/>
      <c r="G66" s="274"/>
      <c r="H66" s="274"/>
      <c r="I66" s="274"/>
      <c r="J66" s="274"/>
      <c r="K66" s="275"/>
      <c r="L66" s="39"/>
    </row>
    <row r="67" spans="1:12" ht="12.75">
      <c r="A67" s="39"/>
      <c r="B67" s="273"/>
      <c r="C67" s="274"/>
      <c r="D67" s="274"/>
      <c r="E67" s="274"/>
      <c r="F67" s="274"/>
      <c r="G67" s="274"/>
      <c r="H67" s="274"/>
      <c r="I67" s="274"/>
      <c r="J67" s="274"/>
      <c r="K67" s="275"/>
      <c r="L67" s="39"/>
    </row>
    <row r="68" spans="1:12" ht="12.75">
      <c r="A68" s="39"/>
      <c r="B68" s="273"/>
      <c r="C68" s="274"/>
      <c r="D68" s="274"/>
      <c r="E68" s="274"/>
      <c r="F68" s="274"/>
      <c r="G68" s="274"/>
      <c r="H68" s="274"/>
      <c r="I68" s="274"/>
      <c r="J68" s="274"/>
      <c r="K68" s="275"/>
      <c r="L68" s="39"/>
    </row>
    <row r="69" spans="1:12" ht="12.75">
      <c r="A69" s="39"/>
      <c r="B69" s="273"/>
      <c r="C69" s="274"/>
      <c r="D69" s="274"/>
      <c r="E69" s="274"/>
      <c r="F69" s="274"/>
      <c r="G69" s="274"/>
      <c r="H69" s="274"/>
      <c r="I69" s="274"/>
      <c r="J69" s="274"/>
      <c r="K69" s="275"/>
      <c r="L69" s="39"/>
    </row>
    <row r="70" spans="1:12" ht="12.75">
      <c r="A70" s="39"/>
      <c r="B70" s="273"/>
      <c r="C70" s="274"/>
      <c r="D70" s="274"/>
      <c r="E70" s="274"/>
      <c r="F70" s="274"/>
      <c r="G70" s="274"/>
      <c r="H70" s="274"/>
      <c r="I70" s="274"/>
      <c r="J70" s="274"/>
      <c r="K70" s="275"/>
      <c r="L70" s="39"/>
    </row>
    <row r="71" spans="1:12" ht="13.5" thickBot="1">
      <c r="A71" s="39"/>
      <c r="B71" s="283"/>
      <c r="C71" s="284"/>
      <c r="D71" s="284"/>
      <c r="E71" s="284"/>
      <c r="F71" s="284"/>
      <c r="G71" s="284"/>
      <c r="H71" s="284"/>
      <c r="I71" s="284"/>
      <c r="J71" s="284"/>
      <c r="K71" s="285"/>
      <c r="L71" s="39"/>
    </row>
    <row r="72" spans="1:12" ht="13.5" thickTop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.75">
      <c r="A73" s="286"/>
      <c r="B73" s="286"/>
      <c r="C73" s="286"/>
      <c r="D73" s="286"/>
      <c r="E73" s="286"/>
      <c r="F73" s="286"/>
      <c r="G73" s="286"/>
      <c r="H73" s="286"/>
      <c r="I73" s="286"/>
      <c r="J73" s="286"/>
      <c r="K73" s="286"/>
      <c r="L73" s="286"/>
    </row>
    <row r="74" spans="1:12" ht="12.75">
      <c r="A74" s="286"/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6"/>
    </row>
    <row r="75" spans="1:12" ht="12.75">
      <c r="A75" s="286"/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6"/>
    </row>
    <row r="76" spans="1:12" ht="12.75">
      <c r="A76" s="286"/>
      <c r="B76" s="287"/>
      <c r="C76" s="287"/>
      <c r="D76" s="287"/>
      <c r="E76" s="287"/>
      <c r="F76" s="287"/>
      <c r="G76" s="287"/>
      <c r="H76" s="287"/>
      <c r="I76" s="287"/>
      <c r="J76" s="287"/>
      <c r="K76" s="287"/>
      <c r="L76" s="286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sheetProtection/>
  <mergeCells count="3">
    <mergeCell ref="E6:H6"/>
    <mergeCell ref="E40:H40"/>
    <mergeCell ref="B3:K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72" r:id="rId2"/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0"/>
  <sheetViews>
    <sheetView view="pageBreakPreview" zoomScaleNormal="85" zoomScaleSheetLayoutView="100" zoomScalePageLayoutView="0" workbookViewId="0" topLeftCell="A1">
      <pane ySplit="7" topLeftCell="A29" activePane="bottomLeft" state="frozen"/>
      <selection pane="topLeft" activeCell="C52" sqref="C52:H53"/>
      <selection pane="bottomLeft" activeCell="G56" sqref="G56:G58"/>
    </sheetView>
  </sheetViews>
  <sheetFormatPr defaultColWidth="11.421875" defaultRowHeight="21" customHeight="1"/>
  <cols>
    <col min="1" max="1" width="3.57421875" style="0" customWidth="1"/>
    <col min="2" max="2" width="3.421875" style="0" customWidth="1"/>
    <col min="3" max="3" width="37.00390625" style="0" customWidth="1"/>
    <col min="4" max="4" width="8.28125" style="0" customWidth="1"/>
    <col min="5" max="5" width="11.140625" style="0" customWidth="1"/>
    <col min="6" max="6" width="8.140625" style="0" customWidth="1"/>
    <col min="7" max="7" width="33.8515625" style="0" customWidth="1"/>
    <col min="8" max="9" width="14.57421875" style="0" customWidth="1"/>
    <col min="10" max="10" width="9.28125" style="0" customWidth="1"/>
    <col min="11" max="11" width="8.140625" style="0" customWidth="1"/>
    <col min="12" max="12" width="3.421875" style="29" customWidth="1"/>
    <col min="13" max="13" width="3.57421875" style="0" customWidth="1"/>
  </cols>
  <sheetData>
    <row r="1" spans="1:13" ht="21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M1" s="29"/>
    </row>
    <row r="2" spans="1:13" ht="21" customHeight="1" thickTop="1">
      <c r="A2" s="29"/>
      <c r="B2" s="33"/>
      <c r="C2" s="3"/>
      <c r="D2" s="3"/>
      <c r="E2" s="183"/>
      <c r="F2" s="3"/>
      <c r="G2" s="3"/>
      <c r="H2" s="3"/>
      <c r="I2" s="3"/>
      <c r="J2" s="3"/>
      <c r="K2" s="3"/>
      <c r="L2" s="4"/>
      <c r="M2" s="29"/>
    </row>
    <row r="3" spans="1:13" ht="21" customHeight="1" thickBot="1">
      <c r="A3" s="29"/>
      <c r="B3" s="660" t="s">
        <v>52</v>
      </c>
      <c r="C3" s="661"/>
      <c r="D3" s="661"/>
      <c r="E3" s="661"/>
      <c r="F3" s="661"/>
      <c r="G3" s="661"/>
      <c r="H3" s="661"/>
      <c r="I3" s="661"/>
      <c r="J3" s="661"/>
      <c r="K3" s="661"/>
      <c r="L3" s="662"/>
      <c r="M3" s="29"/>
    </row>
    <row r="4" spans="1:13" ht="21" customHeight="1" thickBot="1" thickTop="1">
      <c r="A4" s="29"/>
      <c r="B4" s="30"/>
      <c r="C4" s="5"/>
      <c r="D4" s="5"/>
      <c r="E4" s="5"/>
      <c r="F4" s="5"/>
      <c r="G4" s="5"/>
      <c r="H4" s="5"/>
      <c r="I4" s="5"/>
      <c r="J4" s="5"/>
      <c r="K4" s="5"/>
      <c r="L4" s="6"/>
      <c r="M4" s="29"/>
    </row>
    <row r="5" spans="1:13" ht="12.75">
      <c r="A5" s="29"/>
      <c r="B5" s="30"/>
      <c r="C5" s="663" t="s">
        <v>127</v>
      </c>
      <c r="D5" s="664"/>
      <c r="E5" s="664"/>
      <c r="F5" s="664"/>
      <c r="G5" s="664"/>
      <c r="H5" s="664"/>
      <c r="I5" s="664"/>
      <c r="J5" s="664"/>
      <c r="K5" s="665"/>
      <c r="L5" s="34"/>
      <c r="M5" s="29"/>
    </row>
    <row r="6" spans="1:13" ht="21" customHeight="1">
      <c r="A6" s="29"/>
      <c r="B6" s="35"/>
      <c r="C6" s="666" t="s">
        <v>129</v>
      </c>
      <c r="D6" s="668" t="s">
        <v>53</v>
      </c>
      <c r="E6" s="668" t="s">
        <v>57</v>
      </c>
      <c r="F6" s="668" t="s">
        <v>106</v>
      </c>
      <c r="G6" s="668" t="s">
        <v>101</v>
      </c>
      <c r="H6" s="668" t="s">
        <v>58</v>
      </c>
      <c r="I6" s="668" t="s">
        <v>107</v>
      </c>
      <c r="J6" s="668" t="s">
        <v>59</v>
      </c>
      <c r="K6" s="670"/>
      <c r="L6" s="36"/>
      <c r="M6" s="29"/>
    </row>
    <row r="7" spans="1:13" ht="21" customHeight="1">
      <c r="A7" s="29"/>
      <c r="B7" s="30"/>
      <c r="C7" s="667"/>
      <c r="D7" s="669"/>
      <c r="E7" s="669"/>
      <c r="F7" s="669"/>
      <c r="G7" s="669"/>
      <c r="H7" s="669"/>
      <c r="I7" s="669"/>
      <c r="J7" s="181" t="s">
        <v>54</v>
      </c>
      <c r="K7" s="182" t="s">
        <v>55</v>
      </c>
      <c r="L7" s="37"/>
      <c r="M7" s="29"/>
    </row>
    <row r="8" spans="1:13" ht="33.75" customHeight="1">
      <c r="A8" s="29"/>
      <c r="B8" s="30"/>
      <c r="C8" s="57" t="s">
        <v>126</v>
      </c>
      <c r="D8" s="58" t="s">
        <v>128</v>
      </c>
      <c r="E8" s="59">
        <v>1000</v>
      </c>
      <c r="F8" s="58" t="s">
        <v>113</v>
      </c>
      <c r="G8" s="60" t="s">
        <v>105</v>
      </c>
      <c r="H8" s="57" t="s">
        <v>91</v>
      </c>
      <c r="I8" s="61" t="s">
        <v>108</v>
      </c>
      <c r="J8" s="62">
        <v>40917</v>
      </c>
      <c r="K8" s="71" t="s">
        <v>86</v>
      </c>
      <c r="L8" s="38"/>
      <c r="M8" s="29"/>
    </row>
    <row r="9" spans="1:13" ht="27">
      <c r="A9" s="29"/>
      <c r="B9" s="30"/>
      <c r="C9" s="57" t="s">
        <v>152</v>
      </c>
      <c r="D9" s="58"/>
      <c r="E9" s="59">
        <v>15000</v>
      </c>
      <c r="F9" s="58" t="s">
        <v>142</v>
      </c>
      <c r="G9" s="60" t="s">
        <v>144</v>
      </c>
      <c r="H9" s="57" t="s">
        <v>149</v>
      </c>
      <c r="I9" s="61" t="s">
        <v>108</v>
      </c>
      <c r="J9" s="62">
        <v>40946</v>
      </c>
      <c r="K9" s="71" t="s">
        <v>151</v>
      </c>
      <c r="L9" s="38"/>
      <c r="M9" s="29"/>
    </row>
    <row r="10" spans="1:13" ht="12.75">
      <c r="A10" s="29"/>
      <c r="B10" s="30"/>
      <c r="C10" s="649" t="s">
        <v>138</v>
      </c>
      <c r="D10" s="58" t="s">
        <v>139</v>
      </c>
      <c r="E10" s="59">
        <v>3000</v>
      </c>
      <c r="F10" s="58" t="s">
        <v>142</v>
      </c>
      <c r="G10" s="60" t="s">
        <v>145</v>
      </c>
      <c r="H10" s="649" t="s">
        <v>149</v>
      </c>
      <c r="I10" s="641" t="s">
        <v>150</v>
      </c>
      <c r="J10" s="652">
        <v>40953</v>
      </c>
      <c r="K10" s="654" t="s">
        <v>151</v>
      </c>
      <c r="L10" s="6"/>
      <c r="M10" s="29"/>
    </row>
    <row r="11" spans="1:13" ht="12.75">
      <c r="A11" s="29"/>
      <c r="B11" s="30"/>
      <c r="C11" s="656"/>
      <c r="D11" s="58" t="s">
        <v>140</v>
      </c>
      <c r="E11" s="59">
        <v>4000</v>
      </c>
      <c r="F11" s="58" t="s">
        <v>143</v>
      </c>
      <c r="G11" s="60" t="s">
        <v>146</v>
      </c>
      <c r="H11" s="656"/>
      <c r="I11" s="642"/>
      <c r="J11" s="658"/>
      <c r="K11" s="657"/>
      <c r="L11" s="6"/>
      <c r="M11" s="29"/>
    </row>
    <row r="12" spans="1:13" ht="12.75">
      <c r="A12" s="29"/>
      <c r="B12" s="30"/>
      <c r="C12" s="650"/>
      <c r="D12" s="58" t="s">
        <v>141</v>
      </c>
      <c r="E12" s="59">
        <v>5000</v>
      </c>
      <c r="F12" s="58" t="s">
        <v>113</v>
      </c>
      <c r="G12" s="60" t="s">
        <v>147</v>
      </c>
      <c r="H12" s="650"/>
      <c r="I12" s="643"/>
      <c r="J12" s="653"/>
      <c r="K12" s="655"/>
      <c r="L12" s="6"/>
      <c r="M12" s="29"/>
    </row>
    <row r="13" spans="1:13" ht="27">
      <c r="A13" s="29"/>
      <c r="B13" s="30"/>
      <c r="C13" s="57" t="s">
        <v>153</v>
      </c>
      <c r="D13" s="58"/>
      <c r="E13" s="59">
        <v>3000</v>
      </c>
      <c r="F13" s="58" t="s">
        <v>142</v>
      </c>
      <c r="G13" s="60" t="s">
        <v>148</v>
      </c>
      <c r="H13" s="57" t="s">
        <v>91</v>
      </c>
      <c r="I13" s="61" t="s">
        <v>108</v>
      </c>
      <c r="J13" s="62">
        <v>40955</v>
      </c>
      <c r="K13" s="71" t="s">
        <v>151</v>
      </c>
      <c r="L13" s="6"/>
      <c r="M13" s="29"/>
    </row>
    <row r="14" spans="1:13" ht="21" customHeight="1">
      <c r="A14" s="29"/>
      <c r="B14" s="30"/>
      <c r="C14" s="649" t="s">
        <v>164</v>
      </c>
      <c r="D14" s="58" t="s">
        <v>139</v>
      </c>
      <c r="E14" s="59">
        <v>2300</v>
      </c>
      <c r="F14" s="58" t="s">
        <v>160</v>
      </c>
      <c r="G14" s="671" t="s">
        <v>163</v>
      </c>
      <c r="H14" s="649" t="s">
        <v>149</v>
      </c>
      <c r="I14" s="641" t="s">
        <v>150</v>
      </c>
      <c r="J14" s="652">
        <v>40975</v>
      </c>
      <c r="K14" s="654" t="s">
        <v>151</v>
      </c>
      <c r="L14" s="6"/>
      <c r="M14" s="29"/>
    </row>
    <row r="15" spans="1:13" ht="12.75">
      <c r="A15" s="29"/>
      <c r="B15" s="30"/>
      <c r="C15" s="656"/>
      <c r="D15" s="58" t="s">
        <v>140</v>
      </c>
      <c r="E15" s="59">
        <v>2300</v>
      </c>
      <c r="F15" s="58" t="s">
        <v>161</v>
      </c>
      <c r="G15" s="672"/>
      <c r="H15" s="656"/>
      <c r="I15" s="642"/>
      <c r="J15" s="658"/>
      <c r="K15" s="657"/>
      <c r="L15" s="6"/>
      <c r="M15" s="29"/>
    </row>
    <row r="16" spans="1:13" ht="12.75">
      <c r="A16" s="29"/>
      <c r="B16" s="30"/>
      <c r="C16" s="650"/>
      <c r="D16" s="58" t="s">
        <v>141</v>
      </c>
      <c r="E16" s="59">
        <v>2400</v>
      </c>
      <c r="F16" s="58" t="s">
        <v>162</v>
      </c>
      <c r="G16" s="673"/>
      <c r="H16" s="650"/>
      <c r="I16" s="643"/>
      <c r="J16" s="653"/>
      <c r="K16" s="655"/>
      <c r="L16" s="6"/>
      <c r="M16" s="29"/>
    </row>
    <row r="17" spans="1:13" ht="18">
      <c r="A17" s="29"/>
      <c r="B17" s="30"/>
      <c r="C17" s="68" t="s">
        <v>165</v>
      </c>
      <c r="D17" s="63"/>
      <c r="E17" s="64">
        <v>14000</v>
      </c>
      <c r="F17" s="63" t="s">
        <v>113</v>
      </c>
      <c r="G17" s="69" t="s">
        <v>105</v>
      </c>
      <c r="H17" s="68" t="s">
        <v>166</v>
      </c>
      <c r="I17" s="67" t="s">
        <v>108</v>
      </c>
      <c r="J17" s="66">
        <v>40988</v>
      </c>
      <c r="K17" s="70" t="s">
        <v>151</v>
      </c>
      <c r="L17" s="6"/>
      <c r="M17" s="29"/>
    </row>
    <row r="18" spans="1:13" ht="18" customHeight="1">
      <c r="A18" s="29"/>
      <c r="B18" s="30"/>
      <c r="C18" s="651" t="s">
        <v>167</v>
      </c>
      <c r="D18" s="57" t="s">
        <v>168</v>
      </c>
      <c r="E18" s="57">
        <v>1000</v>
      </c>
      <c r="F18" s="57" t="s">
        <v>160</v>
      </c>
      <c r="G18" s="651" t="s">
        <v>179</v>
      </c>
      <c r="H18" s="57" t="s">
        <v>149</v>
      </c>
      <c r="I18" s="651" t="s">
        <v>181</v>
      </c>
      <c r="J18" s="648">
        <v>40994</v>
      </c>
      <c r="K18" s="651" t="s">
        <v>86</v>
      </c>
      <c r="L18" s="6"/>
      <c r="M18" s="29"/>
    </row>
    <row r="19" spans="1:13" ht="12.75">
      <c r="A19" s="29"/>
      <c r="B19" s="30"/>
      <c r="C19" s="651"/>
      <c r="D19" s="57" t="s">
        <v>169</v>
      </c>
      <c r="E19" s="57">
        <v>15800</v>
      </c>
      <c r="F19" s="57" t="s">
        <v>174</v>
      </c>
      <c r="G19" s="651"/>
      <c r="H19" s="57" t="s">
        <v>149</v>
      </c>
      <c r="I19" s="651"/>
      <c r="J19" s="648"/>
      <c r="K19" s="651"/>
      <c r="L19" s="6"/>
      <c r="M19" s="29"/>
    </row>
    <row r="20" spans="1:13" ht="12.75">
      <c r="A20" s="29"/>
      <c r="B20" s="30"/>
      <c r="C20" s="651"/>
      <c r="D20" s="57" t="s">
        <v>170</v>
      </c>
      <c r="E20" s="57">
        <v>8100</v>
      </c>
      <c r="F20" s="57" t="s">
        <v>175</v>
      </c>
      <c r="G20" s="651"/>
      <c r="H20" s="57" t="s">
        <v>149</v>
      </c>
      <c r="I20" s="651"/>
      <c r="J20" s="648"/>
      <c r="K20" s="651"/>
      <c r="L20" s="6"/>
      <c r="M20" s="29"/>
    </row>
    <row r="21" spans="1:13" ht="12.75">
      <c r="A21" s="29"/>
      <c r="B21" s="30"/>
      <c r="C21" s="651"/>
      <c r="D21" s="57" t="s">
        <v>171</v>
      </c>
      <c r="E21" s="57">
        <v>2400</v>
      </c>
      <c r="F21" s="57" t="s">
        <v>176</v>
      </c>
      <c r="G21" s="651"/>
      <c r="H21" s="57" t="s">
        <v>149</v>
      </c>
      <c r="I21" s="651"/>
      <c r="J21" s="648"/>
      <c r="K21" s="651"/>
      <c r="L21" s="6"/>
      <c r="M21" s="29"/>
    </row>
    <row r="22" spans="1:13" ht="12.75">
      <c r="A22" s="29"/>
      <c r="B22" s="30"/>
      <c r="C22" s="651"/>
      <c r="D22" s="57" t="s">
        <v>172</v>
      </c>
      <c r="E22" s="57">
        <v>2699</v>
      </c>
      <c r="F22" s="57" t="s">
        <v>177</v>
      </c>
      <c r="G22" s="651"/>
      <c r="H22" s="57" t="s">
        <v>180</v>
      </c>
      <c r="I22" s="651"/>
      <c r="J22" s="648"/>
      <c r="K22" s="651"/>
      <c r="L22" s="6"/>
      <c r="M22" s="29"/>
    </row>
    <row r="23" spans="1:13" ht="12.75">
      <c r="A23" s="29"/>
      <c r="B23" s="30"/>
      <c r="C23" s="649"/>
      <c r="D23" s="65" t="s">
        <v>173</v>
      </c>
      <c r="E23" s="65">
        <v>1</v>
      </c>
      <c r="F23" s="65" t="s">
        <v>178</v>
      </c>
      <c r="G23" s="649"/>
      <c r="H23" s="65" t="s">
        <v>140</v>
      </c>
      <c r="I23" s="649"/>
      <c r="J23" s="652"/>
      <c r="K23" s="649"/>
      <c r="L23" s="6"/>
      <c r="M23" s="29"/>
    </row>
    <row r="24" spans="1:13" ht="12.75" customHeight="1">
      <c r="A24" s="29"/>
      <c r="B24" s="30"/>
      <c r="C24" s="649" t="s">
        <v>182</v>
      </c>
      <c r="D24" s="59" t="s">
        <v>139</v>
      </c>
      <c r="E24" s="58">
        <v>10000</v>
      </c>
      <c r="F24" s="60" t="s">
        <v>142</v>
      </c>
      <c r="G24" s="60" t="s">
        <v>148</v>
      </c>
      <c r="H24" s="649" t="s">
        <v>149</v>
      </c>
      <c r="I24" s="641" t="s">
        <v>150</v>
      </c>
      <c r="J24" s="652">
        <v>40998</v>
      </c>
      <c r="K24" s="654" t="s">
        <v>151</v>
      </c>
      <c r="L24" s="6"/>
      <c r="M24" s="29"/>
    </row>
    <row r="25" spans="1:13" ht="16.5" customHeight="1">
      <c r="A25" s="29"/>
      <c r="B25" s="30"/>
      <c r="C25" s="650"/>
      <c r="D25" s="59" t="s">
        <v>140</v>
      </c>
      <c r="E25" s="58">
        <v>10000</v>
      </c>
      <c r="F25" s="60" t="s">
        <v>143</v>
      </c>
      <c r="G25" s="59" t="s">
        <v>145</v>
      </c>
      <c r="H25" s="650"/>
      <c r="I25" s="643"/>
      <c r="J25" s="653"/>
      <c r="K25" s="655"/>
      <c r="L25" s="6"/>
      <c r="M25" s="29"/>
    </row>
    <row r="26" spans="1:13" ht="32.25" customHeight="1">
      <c r="A26" s="29"/>
      <c r="B26" s="30"/>
      <c r="C26" s="61" t="s">
        <v>213</v>
      </c>
      <c r="D26" s="61"/>
      <c r="E26" s="61">
        <v>12000</v>
      </c>
      <c r="F26" s="61" t="s">
        <v>142</v>
      </c>
      <c r="G26" s="61" t="s">
        <v>144</v>
      </c>
      <c r="H26" s="61" t="s">
        <v>149</v>
      </c>
      <c r="I26" s="61" t="s">
        <v>150</v>
      </c>
      <c r="J26" s="61">
        <v>41051</v>
      </c>
      <c r="K26" s="61" t="s">
        <v>151</v>
      </c>
      <c r="L26" s="6"/>
      <c r="M26" s="29"/>
    </row>
    <row r="27" spans="1:13" ht="12.75">
      <c r="A27" s="29"/>
      <c r="B27" s="30"/>
      <c r="C27" s="636" t="s">
        <v>206</v>
      </c>
      <c r="D27" s="636" t="s">
        <v>169</v>
      </c>
      <c r="E27" s="164">
        <v>500</v>
      </c>
      <c r="F27" s="636" t="s">
        <v>207</v>
      </c>
      <c r="G27" s="636" t="s">
        <v>179</v>
      </c>
      <c r="H27" s="636" t="s">
        <v>149</v>
      </c>
      <c r="I27" s="636" t="s">
        <v>108</v>
      </c>
      <c r="J27" s="648">
        <v>41057</v>
      </c>
      <c r="K27" s="636" t="s">
        <v>86</v>
      </c>
      <c r="L27" s="6"/>
      <c r="M27" s="29"/>
    </row>
    <row r="28" spans="1:13" ht="12.75">
      <c r="A28" s="29"/>
      <c r="B28" s="30"/>
      <c r="C28" s="636"/>
      <c r="D28" s="636"/>
      <c r="E28" s="164">
        <v>2500</v>
      </c>
      <c r="F28" s="636"/>
      <c r="G28" s="636"/>
      <c r="H28" s="636"/>
      <c r="I28" s="636"/>
      <c r="J28" s="648"/>
      <c r="K28" s="636"/>
      <c r="L28" s="6"/>
      <c r="M28" s="29"/>
    </row>
    <row r="29" spans="1:13" ht="12.75">
      <c r="A29" s="29"/>
      <c r="B29" s="30"/>
      <c r="C29" s="636"/>
      <c r="D29" s="636"/>
      <c r="E29" s="164">
        <v>8500</v>
      </c>
      <c r="F29" s="636"/>
      <c r="G29" s="636"/>
      <c r="H29" s="636"/>
      <c r="I29" s="636"/>
      <c r="J29" s="648"/>
      <c r="K29" s="636"/>
      <c r="L29" s="6"/>
      <c r="M29" s="29"/>
    </row>
    <row r="30" spans="1:13" ht="12.75">
      <c r="A30" s="29"/>
      <c r="B30" s="30"/>
      <c r="C30" s="636"/>
      <c r="D30" s="636"/>
      <c r="E30" s="164">
        <v>19000</v>
      </c>
      <c r="F30" s="636"/>
      <c r="G30" s="636"/>
      <c r="H30" s="636"/>
      <c r="I30" s="636"/>
      <c r="J30" s="648"/>
      <c r="K30" s="636"/>
      <c r="L30" s="6"/>
      <c r="M30" s="29"/>
    </row>
    <row r="31" spans="1:13" ht="12.75">
      <c r="A31" s="29"/>
      <c r="B31" s="30"/>
      <c r="C31" s="636"/>
      <c r="D31" s="636" t="s">
        <v>170</v>
      </c>
      <c r="E31" s="164">
        <v>250</v>
      </c>
      <c r="F31" s="636" t="s">
        <v>208</v>
      </c>
      <c r="G31" s="636" t="s">
        <v>179</v>
      </c>
      <c r="H31" s="636" t="s">
        <v>149</v>
      </c>
      <c r="I31" s="636"/>
      <c r="J31" s="648"/>
      <c r="K31" s="636"/>
      <c r="L31" s="6"/>
      <c r="M31" s="29"/>
    </row>
    <row r="32" spans="1:13" ht="12.75">
      <c r="A32" s="29"/>
      <c r="B32" s="30"/>
      <c r="C32" s="636"/>
      <c r="D32" s="636"/>
      <c r="E32" s="164">
        <v>1250</v>
      </c>
      <c r="F32" s="636"/>
      <c r="G32" s="636"/>
      <c r="H32" s="636"/>
      <c r="I32" s="636"/>
      <c r="J32" s="648"/>
      <c r="K32" s="636"/>
      <c r="L32" s="6"/>
      <c r="M32" s="29"/>
    </row>
    <row r="33" spans="1:13" ht="12.75">
      <c r="A33" s="29"/>
      <c r="B33" s="30"/>
      <c r="C33" s="636"/>
      <c r="D33" s="636"/>
      <c r="E33" s="165">
        <v>3000</v>
      </c>
      <c r="F33" s="636"/>
      <c r="G33" s="636"/>
      <c r="H33" s="636"/>
      <c r="I33" s="636"/>
      <c r="J33" s="648"/>
      <c r="K33" s="636"/>
      <c r="L33" s="6"/>
      <c r="M33" s="29"/>
    </row>
    <row r="34" spans="1:13" ht="12.75">
      <c r="A34" s="29"/>
      <c r="B34" s="30"/>
      <c r="C34" s="636"/>
      <c r="D34" s="636"/>
      <c r="E34" s="165">
        <v>7000</v>
      </c>
      <c r="F34" s="636"/>
      <c r="G34" s="636"/>
      <c r="H34" s="636"/>
      <c r="I34" s="636"/>
      <c r="J34" s="648"/>
      <c r="K34" s="636"/>
      <c r="L34" s="6"/>
      <c r="M34" s="29"/>
    </row>
    <row r="35" spans="1:13" ht="12.75">
      <c r="A35" s="29"/>
      <c r="B35" s="30"/>
      <c r="C35" s="636"/>
      <c r="D35" s="636" t="s">
        <v>171</v>
      </c>
      <c r="E35" s="165">
        <v>400</v>
      </c>
      <c r="F35" s="636" t="s">
        <v>209</v>
      </c>
      <c r="G35" s="636" t="s">
        <v>179</v>
      </c>
      <c r="H35" s="636" t="s">
        <v>149</v>
      </c>
      <c r="I35" s="636"/>
      <c r="J35" s="648"/>
      <c r="K35" s="636"/>
      <c r="L35" s="6"/>
      <c r="M35" s="29"/>
    </row>
    <row r="36" spans="1:13" ht="12.75">
      <c r="A36" s="29"/>
      <c r="B36" s="30"/>
      <c r="C36" s="636"/>
      <c r="D36" s="636"/>
      <c r="E36" s="165">
        <v>1200</v>
      </c>
      <c r="F36" s="636"/>
      <c r="G36" s="636"/>
      <c r="H36" s="636"/>
      <c r="I36" s="636"/>
      <c r="J36" s="648"/>
      <c r="K36" s="636"/>
      <c r="L36" s="6"/>
      <c r="M36" s="29"/>
    </row>
    <row r="37" spans="1:13" ht="12.75">
      <c r="A37" s="29"/>
      <c r="B37" s="30"/>
      <c r="C37" s="636"/>
      <c r="D37" s="636"/>
      <c r="E37" s="165">
        <v>2400</v>
      </c>
      <c r="F37" s="636"/>
      <c r="G37" s="636"/>
      <c r="H37" s="636"/>
      <c r="I37" s="636"/>
      <c r="J37" s="648"/>
      <c r="K37" s="636"/>
      <c r="L37" s="6"/>
      <c r="M37" s="29"/>
    </row>
    <row r="38" spans="1:13" ht="12.75">
      <c r="A38" s="29"/>
      <c r="B38" s="30"/>
      <c r="C38" s="636"/>
      <c r="D38" s="636" t="s">
        <v>172</v>
      </c>
      <c r="E38" s="165">
        <v>400</v>
      </c>
      <c r="F38" s="636" t="s">
        <v>210</v>
      </c>
      <c r="G38" s="636" t="s">
        <v>179</v>
      </c>
      <c r="H38" s="636" t="s">
        <v>180</v>
      </c>
      <c r="I38" s="636"/>
      <c r="J38" s="648"/>
      <c r="K38" s="636"/>
      <c r="L38" s="6"/>
      <c r="M38" s="29"/>
    </row>
    <row r="39" spans="1:13" ht="12.75">
      <c r="A39" s="29"/>
      <c r="B39" s="30"/>
      <c r="C39" s="636"/>
      <c r="D39" s="636"/>
      <c r="E39" s="165">
        <v>1100</v>
      </c>
      <c r="F39" s="636"/>
      <c r="G39" s="636"/>
      <c r="H39" s="636"/>
      <c r="I39" s="636"/>
      <c r="J39" s="648"/>
      <c r="K39" s="636"/>
      <c r="L39" s="6"/>
      <c r="M39" s="29"/>
    </row>
    <row r="40" spans="1:13" ht="12.75">
      <c r="A40" s="29"/>
      <c r="B40" s="30"/>
      <c r="C40" s="636"/>
      <c r="D40" s="636"/>
      <c r="E40" s="165">
        <v>2400</v>
      </c>
      <c r="F40" s="636"/>
      <c r="G40" s="636"/>
      <c r="H40" s="636"/>
      <c r="I40" s="636"/>
      <c r="J40" s="648"/>
      <c r="K40" s="636"/>
      <c r="L40" s="6"/>
      <c r="M40" s="29"/>
    </row>
    <row r="41" spans="1:13" ht="12.75">
      <c r="A41" s="29"/>
      <c r="B41" s="30"/>
      <c r="C41" s="636"/>
      <c r="D41" s="636"/>
      <c r="E41" s="165">
        <v>99</v>
      </c>
      <c r="F41" s="636"/>
      <c r="G41" s="636"/>
      <c r="H41" s="636"/>
      <c r="I41" s="636"/>
      <c r="J41" s="648"/>
      <c r="K41" s="636"/>
      <c r="L41" s="6"/>
      <c r="M41" s="29"/>
    </row>
    <row r="42" spans="1:13" ht="12.75">
      <c r="A42" s="29"/>
      <c r="B42" s="30"/>
      <c r="C42" s="636"/>
      <c r="D42" s="165" t="s">
        <v>173</v>
      </c>
      <c r="E42" s="165">
        <v>0.001</v>
      </c>
      <c r="F42" s="165" t="s">
        <v>211</v>
      </c>
      <c r="G42" s="165" t="s">
        <v>212</v>
      </c>
      <c r="H42" s="165" t="s">
        <v>140</v>
      </c>
      <c r="I42" s="636"/>
      <c r="J42" s="648"/>
      <c r="K42" s="636"/>
      <c r="L42" s="6"/>
      <c r="M42" s="29"/>
    </row>
    <row r="43" spans="1:13" ht="12.75" customHeight="1">
      <c r="A43" s="29"/>
      <c r="B43" s="30"/>
      <c r="C43" s="659" t="s">
        <v>214</v>
      </c>
      <c r="D43" s="659" t="s">
        <v>169</v>
      </c>
      <c r="E43" s="165">
        <v>440</v>
      </c>
      <c r="F43" s="659" t="s">
        <v>215</v>
      </c>
      <c r="G43" s="659" t="s">
        <v>179</v>
      </c>
      <c r="H43" s="659" t="s">
        <v>149</v>
      </c>
      <c r="I43" s="636" t="s">
        <v>108</v>
      </c>
      <c r="J43" s="640">
        <v>41080</v>
      </c>
      <c r="K43" s="636" t="s">
        <v>86</v>
      </c>
      <c r="L43" s="6"/>
      <c r="M43" s="29"/>
    </row>
    <row r="44" spans="1:13" ht="12.75" customHeight="1">
      <c r="A44" s="29"/>
      <c r="B44" s="30"/>
      <c r="C44" s="659"/>
      <c r="D44" s="659"/>
      <c r="E44" s="166">
        <v>2500</v>
      </c>
      <c r="F44" s="659"/>
      <c r="G44" s="659"/>
      <c r="H44" s="659"/>
      <c r="I44" s="636"/>
      <c r="J44" s="640"/>
      <c r="K44" s="636"/>
      <c r="L44" s="6"/>
      <c r="M44" s="29"/>
    </row>
    <row r="45" spans="1:13" ht="12.75" customHeight="1">
      <c r="A45" s="29"/>
      <c r="B45" s="30"/>
      <c r="C45" s="659"/>
      <c r="D45" s="659"/>
      <c r="E45" s="166">
        <v>4000</v>
      </c>
      <c r="F45" s="659"/>
      <c r="G45" s="659"/>
      <c r="H45" s="659"/>
      <c r="I45" s="636"/>
      <c r="J45" s="640"/>
      <c r="K45" s="636"/>
      <c r="L45" s="6"/>
      <c r="M45" s="29"/>
    </row>
    <row r="46" spans="1:13" ht="12.75" customHeight="1">
      <c r="A46" s="29"/>
      <c r="B46" s="30"/>
      <c r="C46" s="659"/>
      <c r="D46" s="659"/>
      <c r="E46" s="166">
        <v>6000</v>
      </c>
      <c r="F46" s="659"/>
      <c r="G46" s="659"/>
      <c r="H46" s="659"/>
      <c r="I46" s="636"/>
      <c r="J46" s="640"/>
      <c r="K46" s="636"/>
      <c r="L46" s="6"/>
      <c r="M46" s="29"/>
    </row>
    <row r="47" spans="1:13" ht="12.75" customHeight="1">
      <c r="A47" s="29"/>
      <c r="B47" s="30"/>
      <c r="C47" s="659"/>
      <c r="D47" s="644" t="s">
        <v>170</v>
      </c>
      <c r="E47" s="166">
        <v>280</v>
      </c>
      <c r="F47" s="644" t="s">
        <v>216</v>
      </c>
      <c r="G47" s="644" t="s">
        <v>179</v>
      </c>
      <c r="H47" s="644" t="s">
        <v>219</v>
      </c>
      <c r="I47" s="636"/>
      <c r="J47" s="640"/>
      <c r="K47" s="636"/>
      <c r="L47" s="6"/>
      <c r="M47" s="29"/>
    </row>
    <row r="48" spans="1:13" ht="12.75" customHeight="1">
      <c r="A48" s="29"/>
      <c r="B48" s="30"/>
      <c r="C48" s="659"/>
      <c r="D48" s="644"/>
      <c r="E48" s="166">
        <v>1250</v>
      </c>
      <c r="F48" s="644"/>
      <c r="G48" s="644"/>
      <c r="H48" s="644"/>
      <c r="I48" s="636"/>
      <c r="J48" s="640"/>
      <c r="K48" s="636"/>
      <c r="L48" s="6"/>
      <c r="M48" s="29"/>
    </row>
    <row r="49" spans="1:13" ht="12.75" customHeight="1">
      <c r="A49" s="29"/>
      <c r="B49" s="30"/>
      <c r="C49" s="659"/>
      <c r="D49" s="644"/>
      <c r="E49" s="166">
        <v>1400</v>
      </c>
      <c r="F49" s="644"/>
      <c r="G49" s="644"/>
      <c r="H49" s="644"/>
      <c r="I49" s="636"/>
      <c r="J49" s="640"/>
      <c r="K49" s="636"/>
      <c r="L49" s="6"/>
      <c r="M49" s="29"/>
    </row>
    <row r="50" spans="1:13" ht="12.75" customHeight="1">
      <c r="A50" s="29"/>
      <c r="B50" s="30"/>
      <c r="C50" s="659"/>
      <c r="D50" s="644" t="s">
        <v>171</v>
      </c>
      <c r="E50" s="166">
        <v>300</v>
      </c>
      <c r="F50" s="644" t="s">
        <v>217</v>
      </c>
      <c r="G50" s="644" t="s">
        <v>179</v>
      </c>
      <c r="H50" s="644" t="s">
        <v>220</v>
      </c>
      <c r="I50" s="636"/>
      <c r="J50" s="640"/>
      <c r="K50" s="636"/>
      <c r="L50" s="6"/>
      <c r="M50" s="29"/>
    </row>
    <row r="51" spans="1:13" ht="12.75" customHeight="1">
      <c r="A51" s="29"/>
      <c r="B51" s="30"/>
      <c r="C51" s="659"/>
      <c r="D51" s="644"/>
      <c r="E51" s="166">
        <v>1000</v>
      </c>
      <c r="F51" s="644"/>
      <c r="G51" s="644"/>
      <c r="H51" s="644"/>
      <c r="I51" s="636"/>
      <c r="J51" s="640"/>
      <c r="K51" s="636"/>
      <c r="L51" s="6"/>
      <c r="M51" s="29"/>
    </row>
    <row r="52" spans="1:13" ht="12.75" customHeight="1">
      <c r="A52" s="29"/>
      <c r="B52" s="30"/>
      <c r="C52" s="659"/>
      <c r="D52" s="644"/>
      <c r="E52" s="166">
        <v>79</v>
      </c>
      <c r="F52" s="644"/>
      <c r="G52" s="644"/>
      <c r="H52" s="644"/>
      <c r="I52" s="636"/>
      <c r="J52" s="640"/>
      <c r="K52" s="636"/>
      <c r="L52" s="6"/>
      <c r="M52" s="29"/>
    </row>
    <row r="53" spans="1:13" ht="12.75" customHeight="1">
      <c r="A53" s="29"/>
      <c r="B53" s="30"/>
      <c r="C53" s="659"/>
      <c r="D53" s="167" t="s">
        <v>172</v>
      </c>
      <c r="E53" s="59">
        <v>1</v>
      </c>
      <c r="F53" s="164" t="s">
        <v>218</v>
      </c>
      <c r="G53" s="168" t="s">
        <v>212</v>
      </c>
      <c r="H53" s="168" t="s">
        <v>221</v>
      </c>
      <c r="I53" s="636"/>
      <c r="J53" s="640"/>
      <c r="K53" s="636"/>
      <c r="L53" s="6"/>
      <c r="M53" s="29"/>
    </row>
    <row r="54" spans="1:13" ht="18" customHeight="1">
      <c r="A54" s="29"/>
      <c r="B54" s="30"/>
      <c r="C54" s="636" t="s">
        <v>222</v>
      </c>
      <c r="D54" s="674"/>
      <c r="E54" s="637">
        <v>27000</v>
      </c>
      <c r="F54" s="644" t="s">
        <v>223</v>
      </c>
      <c r="G54" s="638" t="s">
        <v>105</v>
      </c>
      <c r="H54" s="638" t="s">
        <v>149</v>
      </c>
      <c r="I54" s="636" t="s">
        <v>108</v>
      </c>
      <c r="J54" s="639">
        <v>41082</v>
      </c>
      <c r="K54" s="639" t="s">
        <v>151</v>
      </c>
      <c r="L54" s="6"/>
      <c r="M54" s="29"/>
    </row>
    <row r="55" spans="1:13" ht="12.75">
      <c r="A55" s="29"/>
      <c r="B55" s="30"/>
      <c r="C55" s="636"/>
      <c r="D55" s="674"/>
      <c r="E55" s="637"/>
      <c r="F55" s="644"/>
      <c r="G55" s="638"/>
      <c r="H55" s="638"/>
      <c r="I55" s="636"/>
      <c r="J55" s="639"/>
      <c r="K55" s="639"/>
      <c r="L55" s="6"/>
      <c r="M55" s="29"/>
    </row>
    <row r="56" spans="1:13" ht="12.75">
      <c r="A56" s="29"/>
      <c r="B56" s="30"/>
      <c r="C56" s="636" t="s">
        <v>224</v>
      </c>
      <c r="D56" s="167" t="s">
        <v>139</v>
      </c>
      <c r="E56" s="637">
        <v>12500</v>
      </c>
      <c r="F56" s="644" t="s">
        <v>113</v>
      </c>
      <c r="G56" s="638" t="s">
        <v>234</v>
      </c>
      <c r="H56" s="638" t="s">
        <v>149</v>
      </c>
      <c r="I56" s="636" t="s">
        <v>225</v>
      </c>
      <c r="J56" s="639">
        <v>41123</v>
      </c>
      <c r="K56" s="639" t="s">
        <v>86</v>
      </c>
      <c r="L56" s="6"/>
      <c r="M56" s="29"/>
    </row>
    <row r="57" spans="1:13" ht="12.75">
      <c r="A57" s="29"/>
      <c r="B57" s="30"/>
      <c r="C57" s="636"/>
      <c r="D57" s="167" t="s">
        <v>229</v>
      </c>
      <c r="E57" s="637"/>
      <c r="F57" s="644"/>
      <c r="G57" s="638"/>
      <c r="H57" s="638"/>
      <c r="I57" s="636"/>
      <c r="J57" s="639"/>
      <c r="K57" s="639"/>
      <c r="L57" s="6"/>
      <c r="M57" s="29"/>
    </row>
    <row r="58" spans="1:13" ht="12.75">
      <c r="A58" s="29"/>
      <c r="B58" s="30"/>
      <c r="C58" s="636"/>
      <c r="D58" s="167" t="s">
        <v>230</v>
      </c>
      <c r="E58" s="637"/>
      <c r="F58" s="644"/>
      <c r="G58" s="638"/>
      <c r="H58" s="638"/>
      <c r="I58" s="636"/>
      <c r="J58" s="639"/>
      <c r="K58" s="639"/>
      <c r="L58" s="6"/>
      <c r="M58" s="29"/>
    </row>
    <row r="59" spans="1:13" ht="23.25" customHeight="1">
      <c r="A59" s="29"/>
      <c r="B59" s="30"/>
      <c r="C59" s="61" t="s">
        <v>228</v>
      </c>
      <c r="D59" s="167"/>
      <c r="E59" s="59">
        <v>14000</v>
      </c>
      <c r="F59" s="166" t="s">
        <v>231</v>
      </c>
      <c r="G59" s="168" t="s">
        <v>233</v>
      </c>
      <c r="H59" s="168" t="s">
        <v>149</v>
      </c>
      <c r="I59" s="61" t="s">
        <v>150</v>
      </c>
      <c r="J59" s="169">
        <v>41130</v>
      </c>
      <c r="K59" s="169" t="s">
        <v>151</v>
      </c>
      <c r="L59" s="6"/>
      <c r="M59" s="29"/>
    </row>
    <row r="60" spans="1:13" ht="16.5" customHeight="1">
      <c r="A60" s="29"/>
      <c r="B60" s="30"/>
      <c r="C60" s="636" t="s">
        <v>237</v>
      </c>
      <c r="D60" s="167" t="s">
        <v>139</v>
      </c>
      <c r="E60" s="637">
        <v>25000</v>
      </c>
      <c r="F60" s="166" t="s">
        <v>143</v>
      </c>
      <c r="G60" s="168" t="s">
        <v>235</v>
      </c>
      <c r="H60" s="638" t="s">
        <v>149</v>
      </c>
      <c r="I60" s="636" t="s">
        <v>238</v>
      </c>
      <c r="J60" s="639">
        <v>41135</v>
      </c>
      <c r="K60" s="639" t="s">
        <v>86</v>
      </c>
      <c r="L60" s="6"/>
      <c r="M60" s="29"/>
    </row>
    <row r="61" spans="1:13" ht="16.5" customHeight="1">
      <c r="A61" s="29"/>
      <c r="B61" s="30"/>
      <c r="C61" s="636"/>
      <c r="D61" s="167" t="s">
        <v>140</v>
      </c>
      <c r="E61" s="637"/>
      <c r="F61" s="166" t="s">
        <v>113</v>
      </c>
      <c r="G61" s="168" t="s">
        <v>235</v>
      </c>
      <c r="H61" s="638"/>
      <c r="I61" s="636"/>
      <c r="J61" s="639"/>
      <c r="K61" s="639"/>
      <c r="L61" s="6"/>
      <c r="M61" s="29"/>
    </row>
    <row r="62" spans="1:13" ht="16.5" customHeight="1">
      <c r="A62" s="29"/>
      <c r="B62" s="30"/>
      <c r="C62" s="636"/>
      <c r="D62" s="167" t="s">
        <v>141</v>
      </c>
      <c r="E62" s="637"/>
      <c r="F62" s="166" t="s">
        <v>232</v>
      </c>
      <c r="G62" s="168" t="s">
        <v>236</v>
      </c>
      <c r="H62" s="638"/>
      <c r="I62" s="636"/>
      <c r="J62" s="639"/>
      <c r="K62" s="639"/>
      <c r="L62" s="6"/>
      <c r="M62" s="29"/>
    </row>
    <row r="63" spans="1:13" ht="12.75">
      <c r="A63" s="29"/>
      <c r="B63" s="30"/>
      <c r="C63" s="636" t="s">
        <v>239</v>
      </c>
      <c r="D63" s="167" t="s">
        <v>139</v>
      </c>
      <c r="E63" s="637">
        <v>30000</v>
      </c>
      <c r="F63" s="166" t="s">
        <v>240</v>
      </c>
      <c r="G63" s="641" t="s">
        <v>246</v>
      </c>
      <c r="H63" s="638" t="s">
        <v>149</v>
      </c>
      <c r="I63" s="636" t="s">
        <v>150</v>
      </c>
      <c r="J63" s="639">
        <v>41197</v>
      </c>
      <c r="K63" s="639" t="s">
        <v>151</v>
      </c>
      <c r="L63" s="6"/>
      <c r="M63" s="29"/>
    </row>
    <row r="64" spans="1:13" ht="12.75">
      <c r="A64" s="29"/>
      <c r="B64" s="30"/>
      <c r="C64" s="636"/>
      <c r="D64" s="167" t="s">
        <v>140</v>
      </c>
      <c r="E64" s="637"/>
      <c r="F64" s="166" t="s">
        <v>241</v>
      </c>
      <c r="G64" s="642"/>
      <c r="H64" s="638"/>
      <c r="I64" s="636"/>
      <c r="J64" s="639"/>
      <c r="K64" s="639"/>
      <c r="L64" s="6"/>
      <c r="M64" s="29"/>
    </row>
    <row r="65" spans="1:13" ht="12.75">
      <c r="A65" s="29"/>
      <c r="B65" s="30"/>
      <c r="C65" s="636"/>
      <c r="D65" s="167" t="s">
        <v>141</v>
      </c>
      <c r="E65" s="637"/>
      <c r="F65" s="166" t="s">
        <v>242</v>
      </c>
      <c r="G65" s="643"/>
      <c r="H65" s="638"/>
      <c r="I65" s="636"/>
      <c r="J65" s="639"/>
      <c r="K65" s="639"/>
      <c r="L65" s="6"/>
      <c r="M65" s="29"/>
    </row>
    <row r="66" spans="1:13" ht="12.75">
      <c r="A66" s="29"/>
      <c r="B66" s="30"/>
      <c r="C66" s="636" t="s">
        <v>243</v>
      </c>
      <c r="D66" s="167" t="s">
        <v>139</v>
      </c>
      <c r="E66" s="637">
        <v>15000</v>
      </c>
      <c r="F66" s="166" t="s">
        <v>244</v>
      </c>
      <c r="G66" s="170" t="s">
        <v>247</v>
      </c>
      <c r="H66" s="638" t="s">
        <v>149</v>
      </c>
      <c r="I66" s="636" t="s">
        <v>238</v>
      </c>
      <c r="J66" s="639">
        <v>41197</v>
      </c>
      <c r="K66" s="639" t="s">
        <v>151</v>
      </c>
      <c r="L66" s="6"/>
      <c r="M66" s="29"/>
    </row>
    <row r="67" spans="1:13" ht="12.75">
      <c r="A67" s="29"/>
      <c r="B67" s="30"/>
      <c r="C67" s="636"/>
      <c r="D67" s="167" t="s">
        <v>140</v>
      </c>
      <c r="E67" s="637"/>
      <c r="F67" s="166" t="s">
        <v>245</v>
      </c>
      <c r="G67" s="67" t="s">
        <v>248</v>
      </c>
      <c r="H67" s="638"/>
      <c r="I67" s="636"/>
      <c r="J67" s="639"/>
      <c r="K67" s="639"/>
      <c r="L67" s="6"/>
      <c r="M67" s="29"/>
    </row>
    <row r="68" spans="1:13" ht="12.75">
      <c r="A68" s="29"/>
      <c r="B68" s="30"/>
      <c r="C68" s="636" t="s">
        <v>255</v>
      </c>
      <c r="D68" s="167" t="s">
        <v>139</v>
      </c>
      <c r="E68" s="172">
        <v>3500</v>
      </c>
      <c r="F68" s="164" t="s">
        <v>249</v>
      </c>
      <c r="G68" s="168" t="s">
        <v>251</v>
      </c>
      <c r="H68" s="168" t="s">
        <v>166</v>
      </c>
      <c r="I68" s="636" t="s">
        <v>254</v>
      </c>
      <c r="J68" s="633">
        <v>41235</v>
      </c>
      <c r="K68" s="633" t="s">
        <v>86</v>
      </c>
      <c r="L68" s="6"/>
      <c r="M68" s="29"/>
    </row>
    <row r="69" spans="1:13" ht="12.75">
      <c r="A69" s="29"/>
      <c r="B69" s="30"/>
      <c r="C69" s="636"/>
      <c r="D69" s="167" t="s">
        <v>140</v>
      </c>
      <c r="E69" s="173">
        <v>3500</v>
      </c>
      <c r="F69" s="164" t="s">
        <v>244</v>
      </c>
      <c r="G69" s="168" t="s">
        <v>252</v>
      </c>
      <c r="H69" s="168" t="s">
        <v>166</v>
      </c>
      <c r="I69" s="636"/>
      <c r="J69" s="634"/>
      <c r="K69" s="634"/>
      <c r="L69" s="6"/>
      <c r="M69" s="29"/>
    </row>
    <row r="70" spans="1:13" ht="12.75">
      <c r="A70" s="29"/>
      <c r="B70" s="30"/>
      <c r="C70" s="636"/>
      <c r="D70" s="167" t="s">
        <v>141</v>
      </c>
      <c r="E70" s="64">
        <v>1000</v>
      </c>
      <c r="F70" s="164" t="s">
        <v>250</v>
      </c>
      <c r="G70" s="168" t="s">
        <v>253</v>
      </c>
      <c r="H70" s="168" t="s">
        <v>219</v>
      </c>
      <c r="I70" s="636"/>
      <c r="J70" s="635"/>
      <c r="K70" s="635"/>
      <c r="L70" s="6"/>
      <c r="M70" s="29"/>
    </row>
    <row r="71" spans="1:13" ht="18" customHeight="1">
      <c r="A71" s="29"/>
      <c r="B71" s="30"/>
      <c r="C71" s="641" t="s">
        <v>258</v>
      </c>
      <c r="D71" s="171" t="s">
        <v>139</v>
      </c>
      <c r="E71" s="59">
        <v>3000</v>
      </c>
      <c r="F71" s="164" t="s">
        <v>259</v>
      </c>
      <c r="G71" s="168" t="s">
        <v>105</v>
      </c>
      <c r="H71" s="168" t="s">
        <v>149</v>
      </c>
      <c r="I71" s="641" t="s">
        <v>150</v>
      </c>
      <c r="J71" s="633">
        <v>41257</v>
      </c>
      <c r="K71" s="633" t="s">
        <v>151</v>
      </c>
      <c r="L71" s="6"/>
      <c r="M71" s="29"/>
    </row>
    <row r="72" spans="1:13" ht="12.75">
      <c r="A72" s="29"/>
      <c r="B72" s="30"/>
      <c r="C72" s="642"/>
      <c r="D72" s="171" t="s">
        <v>140</v>
      </c>
      <c r="E72" s="59">
        <v>1800</v>
      </c>
      <c r="F72" s="164" t="s">
        <v>244</v>
      </c>
      <c r="G72" s="168" t="s">
        <v>144</v>
      </c>
      <c r="H72" s="168" t="s">
        <v>149</v>
      </c>
      <c r="I72" s="642"/>
      <c r="J72" s="634"/>
      <c r="K72" s="634"/>
      <c r="L72" s="6"/>
      <c r="M72" s="29"/>
    </row>
    <row r="73" spans="1:13" ht="12.75">
      <c r="A73" s="29"/>
      <c r="B73" s="30"/>
      <c r="C73" s="643"/>
      <c r="D73" s="171" t="s">
        <v>141</v>
      </c>
      <c r="E73" s="59">
        <v>1000</v>
      </c>
      <c r="F73" s="164" t="s">
        <v>231</v>
      </c>
      <c r="G73" s="168" t="s">
        <v>145</v>
      </c>
      <c r="H73" s="168" t="s">
        <v>149</v>
      </c>
      <c r="I73" s="643"/>
      <c r="J73" s="635"/>
      <c r="K73" s="635"/>
      <c r="L73" s="6"/>
      <c r="M73" s="29"/>
    </row>
    <row r="74" spans="1:13" ht="18.75" customHeight="1">
      <c r="A74" s="29"/>
      <c r="B74" s="30"/>
      <c r="C74" s="641" t="s">
        <v>260</v>
      </c>
      <c r="D74" s="167" t="s">
        <v>168</v>
      </c>
      <c r="E74" s="59">
        <v>1167</v>
      </c>
      <c r="F74" s="164" t="s">
        <v>261</v>
      </c>
      <c r="G74" s="645" t="s">
        <v>179</v>
      </c>
      <c r="H74" s="168" t="s">
        <v>149</v>
      </c>
      <c r="I74" s="641" t="s">
        <v>267</v>
      </c>
      <c r="J74" s="633">
        <v>41263</v>
      </c>
      <c r="K74" s="633" t="s">
        <v>86</v>
      </c>
      <c r="L74" s="6"/>
      <c r="M74" s="29"/>
    </row>
    <row r="75" spans="1:13" ht="12.75">
      <c r="A75" s="29"/>
      <c r="B75" s="30"/>
      <c r="C75" s="642"/>
      <c r="D75" s="167" t="s">
        <v>169</v>
      </c>
      <c r="E75" s="59">
        <v>18433</v>
      </c>
      <c r="F75" s="164" t="s">
        <v>262</v>
      </c>
      <c r="G75" s="646"/>
      <c r="H75" s="168" t="s">
        <v>149</v>
      </c>
      <c r="I75" s="642"/>
      <c r="J75" s="634"/>
      <c r="K75" s="634"/>
      <c r="L75" s="6"/>
      <c r="M75" s="29"/>
    </row>
    <row r="76" spans="1:13" ht="12.75">
      <c r="A76" s="29"/>
      <c r="B76" s="30"/>
      <c r="C76" s="642"/>
      <c r="D76" s="167" t="s">
        <v>170</v>
      </c>
      <c r="E76" s="59">
        <v>9450</v>
      </c>
      <c r="F76" s="164" t="s">
        <v>263</v>
      </c>
      <c r="G76" s="646"/>
      <c r="H76" s="168" t="s">
        <v>149</v>
      </c>
      <c r="I76" s="642"/>
      <c r="J76" s="634"/>
      <c r="K76" s="634"/>
      <c r="L76" s="6"/>
      <c r="M76" s="29"/>
    </row>
    <row r="77" spans="1:13" ht="12.75">
      <c r="A77" s="29"/>
      <c r="B77" s="30"/>
      <c r="C77" s="642"/>
      <c r="D77" s="167" t="s">
        <v>171</v>
      </c>
      <c r="E77" s="59">
        <v>2800</v>
      </c>
      <c r="F77" s="164" t="s">
        <v>264</v>
      </c>
      <c r="G77" s="646"/>
      <c r="H77" s="168" t="s">
        <v>149</v>
      </c>
      <c r="I77" s="642"/>
      <c r="J77" s="634"/>
      <c r="K77" s="634"/>
      <c r="L77" s="6"/>
      <c r="M77" s="29"/>
    </row>
    <row r="78" spans="1:13" ht="12.75">
      <c r="A78" s="29"/>
      <c r="B78" s="30"/>
      <c r="C78" s="642"/>
      <c r="D78" s="167" t="s">
        <v>172</v>
      </c>
      <c r="E78" s="59">
        <v>3149</v>
      </c>
      <c r="F78" s="164" t="s">
        <v>265</v>
      </c>
      <c r="G78" s="646"/>
      <c r="H78" s="168" t="s">
        <v>180</v>
      </c>
      <c r="I78" s="642"/>
      <c r="J78" s="634"/>
      <c r="K78" s="634"/>
      <c r="L78" s="6"/>
      <c r="M78" s="29"/>
    </row>
    <row r="79" spans="1:13" ht="12.75">
      <c r="A79" s="29"/>
      <c r="B79" s="30"/>
      <c r="C79" s="643"/>
      <c r="D79" s="167" t="s">
        <v>173</v>
      </c>
      <c r="E79" s="59">
        <v>1</v>
      </c>
      <c r="F79" s="164" t="s">
        <v>266</v>
      </c>
      <c r="G79" s="647"/>
      <c r="H79" s="168" t="s">
        <v>140</v>
      </c>
      <c r="I79" s="643"/>
      <c r="J79" s="635"/>
      <c r="K79" s="635"/>
      <c r="L79" s="6"/>
      <c r="M79" s="29"/>
    </row>
    <row r="80" spans="1:13" ht="12.75">
      <c r="A80" s="29"/>
      <c r="B80" s="30"/>
      <c r="C80" s="53"/>
      <c r="D80" s="54"/>
      <c r="E80" s="55"/>
      <c r="F80" s="48"/>
      <c r="G80" s="47"/>
      <c r="H80" s="47"/>
      <c r="I80" s="53"/>
      <c r="J80" s="56"/>
      <c r="K80" s="56"/>
      <c r="L80" s="6"/>
      <c r="M80" s="29"/>
    </row>
    <row r="81" spans="1:13" ht="11.25" customHeight="1" thickBot="1">
      <c r="A81" s="29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7"/>
      <c r="M81" s="29"/>
    </row>
    <row r="82" spans="1:13" ht="21" customHeight="1" thickTop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M82" s="29"/>
    </row>
    <row r="98" ht="21" customHeight="1">
      <c r="P98">
        <f>540/360</f>
        <v>1.5</v>
      </c>
    </row>
    <row r="99" ht="21" customHeight="1">
      <c r="P99">
        <f>1080/360</f>
        <v>3</v>
      </c>
    </row>
    <row r="102" ht="21" customHeight="1">
      <c r="P102">
        <f>1800/360</f>
        <v>5</v>
      </c>
    </row>
    <row r="108" spans="1:13" s="29" customFormat="1" ht="21" customHeight="1">
      <c r="A108"/>
      <c r="B108"/>
      <c r="C108"/>
      <c r="D108"/>
      <c r="E108"/>
      <c r="F108"/>
      <c r="G108"/>
      <c r="H108"/>
      <c r="I108"/>
      <c r="J108"/>
      <c r="K108"/>
      <c r="M108"/>
    </row>
    <row r="109" spans="1:13" s="29" customFormat="1" ht="21" customHeight="1">
      <c r="A109"/>
      <c r="B109"/>
      <c r="C109"/>
      <c r="D109"/>
      <c r="E109"/>
      <c r="F109"/>
      <c r="G109"/>
      <c r="H109"/>
      <c r="I109"/>
      <c r="J109"/>
      <c r="K109"/>
      <c r="M109"/>
    </row>
    <row r="110" spans="1:13" s="29" customFormat="1" ht="21" customHeight="1">
      <c r="A110"/>
      <c r="B110"/>
      <c r="C110"/>
      <c r="D110"/>
      <c r="E110"/>
      <c r="F110"/>
      <c r="G110"/>
      <c r="H110"/>
      <c r="I110"/>
      <c r="J110"/>
      <c r="K110"/>
      <c r="M110"/>
    </row>
    <row r="111" spans="1:13" s="29" customFormat="1" ht="21" customHeight="1">
      <c r="A111"/>
      <c r="B111"/>
      <c r="C111"/>
      <c r="D111"/>
      <c r="E111"/>
      <c r="F111"/>
      <c r="G111"/>
      <c r="H111"/>
      <c r="I111"/>
      <c r="J111"/>
      <c r="K111"/>
      <c r="M111"/>
    </row>
    <row r="112" spans="1:13" s="29" customFormat="1" ht="21" customHeight="1">
      <c r="A112"/>
      <c r="B112"/>
      <c r="C112"/>
      <c r="D112"/>
      <c r="E112"/>
      <c r="F112"/>
      <c r="G112"/>
      <c r="H112"/>
      <c r="I112"/>
      <c r="J112"/>
      <c r="K112"/>
      <c r="M112"/>
    </row>
    <row r="113" spans="1:13" s="29" customFormat="1" ht="21" customHeight="1">
      <c r="A113"/>
      <c r="B113"/>
      <c r="C113"/>
      <c r="D113"/>
      <c r="E113"/>
      <c r="F113"/>
      <c r="G113"/>
      <c r="H113"/>
      <c r="I113"/>
      <c r="J113"/>
      <c r="K113"/>
      <c r="M113"/>
    </row>
    <row r="114" spans="1:13" s="29" customFormat="1" ht="21" customHeight="1">
      <c r="A114"/>
      <c r="B114"/>
      <c r="C114"/>
      <c r="D114"/>
      <c r="E114"/>
      <c r="F114"/>
      <c r="G114"/>
      <c r="H114"/>
      <c r="I114"/>
      <c r="J114"/>
      <c r="K114"/>
      <c r="M114"/>
    </row>
    <row r="115" spans="1:13" s="29" customFormat="1" ht="21" customHeight="1">
      <c r="A115"/>
      <c r="B115"/>
      <c r="C115"/>
      <c r="D115"/>
      <c r="E115"/>
      <c r="F115"/>
      <c r="G115"/>
      <c r="H115"/>
      <c r="I115"/>
      <c r="J115"/>
      <c r="K115"/>
      <c r="M115"/>
    </row>
    <row r="116" spans="1:13" s="29" customFormat="1" ht="21" customHeight="1">
      <c r="A116"/>
      <c r="B116"/>
      <c r="C116"/>
      <c r="D116"/>
      <c r="E116"/>
      <c r="F116"/>
      <c r="G116"/>
      <c r="H116"/>
      <c r="I116"/>
      <c r="J116"/>
      <c r="K116"/>
      <c r="M116"/>
    </row>
    <row r="117" spans="1:13" s="29" customFormat="1" ht="21" customHeight="1">
      <c r="A117"/>
      <c r="B117"/>
      <c r="C117"/>
      <c r="D117"/>
      <c r="E117"/>
      <c r="F117"/>
      <c r="G117"/>
      <c r="H117"/>
      <c r="I117"/>
      <c r="J117"/>
      <c r="K117"/>
      <c r="M117"/>
    </row>
    <row r="118" spans="1:13" s="29" customFormat="1" ht="21" customHeight="1">
      <c r="A118"/>
      <c r="B118"/>
      <c r="C118"/>
      <c r="D118"/>
      <c r="E118"/>
      <c r="F118"/>
      <c r="G118"/>
      <c r="H118"/>
      <c r="I118"/>
      <c r="J118"/>
      <c r="K118"/>
      <c r="M118"/>
    </row>
    <row r="119" spans="1:13" s="29" customFormat="1" ht="21" customHeight="1">
      <c r="A119"/>
      <c r="B119"/>
      <c r="C119"/>
      <c r="D119"/>
      <c r="E119"/>
      <c r="F119"/>
      <c r="G119"/>
      <c r="H119"/>
      <c r="I119"/>
      <c r="J119"/>
      <c r="K119"/>
      <c r="M119"/>
    </row>
    <row r="120" spans="1:13" s="29" customFormat="1" ht="21" customHeight="1">
      <c r="A120"/>
      <c r="B120"/>
      <c r="C120"/>
      <c r="D120"/>
      <c r="E120"/>
      <c r="F120"/>
      <c r="G120"/>
      <c r="H120"/>
      <c r="I120"/>
      <c r="J120"/>
      <c r="K120"/>
      <c r="M120"/>
    </row>
    <row r="121" spans="1:13" s="29" customFormat="1" ht="21" customHeight="1">
      <c r="A121"/>
      <c r="B121"/>
      <c r="C121"/>
      <c r="D121"/>
      <c r="E121"/>
      <c r="F121"/>
      <c r="G121"/>
      <c r="H121"/>
      <c r="I121"/>
      <c r="J121"/>
      <c r="K121"/>
      <c r="M121"/>
    </row>
    <row r="122" spans="1:13" s="29" customFormat="1" ht="21" customHeight="1">
      <c r="A122"/>
      <c r="B122"/>
      <c r="C122"/>
      <c r="D122"/>
      <c r="E122"/>
      <c r="F122"/>
      <c r="G122"/>
      <c r="H122"/>
      <c r="I122"/>
      <c r="J122"/>
      <c r="K122"/>
      <c r="M122"/>
    </row>
    <row r="123" spans="1:13" s="29" customFormat="1" ht="21" customHeight="1">
      <c r="A123"/>
      <c r="B123"/>
      <c r="C123"/>
      <c r="D123"/>
      <c r="E123"/>
      <c r="F123"/>
      <c r="G123"/>
      <c r="H123"/>
      <c r="I123"/>
      <c r="J123"/>
      <c r="K123"/>
      <c r="M123"/>
    </row>
    <row r="124" spans="1:13" s="29" customFormat="1" ht="21" customHeight="1">
      <c r="A124"/>
      <c r="B124"/>
      <c r="C124"/>
      <c r="D124"/>
      <c r="E124"/>
      <c r="F124"/>
      <c r="G124"/>
      <c r="H124"/>
      <c r="I124"/>
      <c r="J124"/>
      <c r="K124"/>
      <c r="M124"/>
    </row>
    <row r="125" spans="1:13" s="29" customFormat="1" ht="21" customHeight="1">
      <c r="A125"/>
      <c r="B125"/>
      <c r="C125"/>
      <c r="D125"/>
      <c r="E125"/>
      <c r="F125"/>
      <c r="G125"/>
      <c r="H125"/>
      <c r="I125"/>
      <c r="J125"/>
      <c r="K125"/>
      <c r="M125"/>
    </row>
    <row r="126" spans="1:13" s="29" customFormat="1" ht="21" customHeight="1">
      <c r="A126"/>
      <c r="B126"/>
      <c r="C126"/>
      <c r="D126"/>
      <c r="E126"/>
      <c r="F126"/>
      <c r="G126"/>
      <c r="H126"/>
      <c r="I126"/>
      <c r="J126"/>
      <c r="K126"/>
      <c r="M126"/>
    </row>
    <row r="127" spans="1:13" s="29" customFormat="1" ht="21" customHeight="1">
      <c r="A127"/>
      <c r="B127"/>
      <c r="C127"/>
      <c r="D127"/>
      <c r="E127"/>
      <c r="F127"/>
      <c r="G127"/>
      <c r="H127"/>
      <c r="I127"/>
      <c r="J127"/>
      <c r="K127"/>
      <c r="M127"/>
    </row>
    <row r="128" spans="1:13" s="29" customFormat="1" ht="21" customHeight="1">
      <c r="A128"/>
      <c r="B128"/>
      <c r="C128"/>
      <c r="D128"/>
      <c r="E128"/>
      <c r="F128"/>
      <c r="G128"/>
      <c r="H128"/>
      <c r="I128"/>
      <c r="J128"/>
      <c r="K128"/>
      <c r="M128"/>
    </row>
    <row r="129" spans="1:13" s="29" customFormat="1" ht="21" customHeight="1">
      <c r="A129"/>
      <c r="B129"/>
      <c r="C129"/>
      <c r="D129"/>
      <c r="E129"/>
      <c r="F129"/>
      <c r="G129"/>
      <c r="H129"/>
      <c r="I129"/>
      <c r="J129"/>
      <c r="K129"/>
      <c r="M129"/>
    </row>
    <row r="130" spans="1:13" s="29" customFormat="1" ht="21" customHeight="1">
      <c r="A130"/>
      <c r="B130"/>
      <c r="C130"/>
      <c r="D130"/>
      <c r="E130"/>
      <c r="F130"/>
      <c r="G130"/>
      <c r="H130"/>
      <c r="I130"/>
      <c r="J130"/>
      <c r="K130"/>
      <c r="M130"/>
    </row>
  </sheetData>
  <sheetProtection/>
  <mergeCells count="116">
    <mergeCell ref="C10:C12"/>
    <mergeCell ref="K10:K12"/>
    <mergeCell ref="J10:J12"/>
    <mergeCell ref="I10:I12"/>
    <mergeCell ref="H10:H12"/>
    <mergeCell ref="G14:G16"/>
    <mergeCell ref="H14:H16"/>
    <mergeCell ref="I14:I16"/>
    <mergeCell ref="I66:I67"/>
    <mergeCell ref="J66:J67"/>
    <mergeCell ref="J63:J65"/>
    <mergeCell ref="K63:K65"/>
    <mergeCell ref="I63:I65"/>
    <mergeCell ref="K66:K67"/>
    <mergeCell ref="I43:I53"/>
    <mergeCell ref="H60:H62"/>
    <mergeCell ref="C43:C53"/>
    <mergeCell ref="G63:G65"/>
    <mergeCell ref="H63:H65"/>
    <mergeCell ref="C54:C55"/>
    <mergeCell ref="D54:D55"/>
    <mergeCell ref="C56:C58"/>
    <mergeCell ref="G56:G58"/>
    <mergeCell ref="E60:E62"/>
    <mergeCell ref="B3:L3"/>
    <mergeCell ref="C5:K5"/>
    <mergeCell ref="C6:C7"/>
    <mergeCell ref="D6:D7"/>
    <mergeCell ref="J6:K6"/>
    <mergeCell ref="E6:E7"/>
    <mergeCell ref="F6:F7"/>
    <mergeCell ref="G6:G7"/>
    <mergeCell ref="H6:H7"/>
    <mergeCell ref="I6:I7"/>
    <mergeCell ref="I74:I79"/>
    <mergeCell ref="C68:C70"/>
    <mergeCell ref="I68:I70"/>
    <mergeCell ref="C71:C73"/>
    <mergeCell ref="C27:C42"/>
    <mergeCell ref="F38:F41"/>
    <mergeCell ref="F35:F37"/>
    <mergeCell ref="F27:F30"/>
    <mergeCell ref="F31:F34"/>
    <mergeCell ref="C74:C79"/>
    <mergeCell ref="C63:C65"/>
    <mergeCell ref="D43:D46"/>
    <mergeCell ref="F50:F52"/>
    <mergeCell ref="F43:F46"/>
    <mergeCell ref="H47:H49"/>
    <mergeCell ref="F47:F49"/>
    <mergeCell ref="H35:H37"/>
    <mergeCell ref="H43:H46"/>
    <mergeCell ref="G47:G49"/>
    <mergeCell ref="G43:G46"/>
    <mergeCell ref="G35:G37"/>
    <mergeCell ref="H54:H55"/>
    <mergeCell ref="H56:H58"/>
    <mergeCell ref="E56:E58"/>
    <mergeCell ref="H24:H25"/>
    <mergeCell ref="I24:I25"/>
    <mergeCell ref="G18:G23"/>
    <mergeCell ref="I18:I23"/>
    <mergeCell ref="J24:J25"/>
    <mergeCell ref="K24:K25"/>
    <mergeCell ref="C14:C16"/>
    <mergeCell ref="C18:C23"/>
    <mergeCell ref="C24:C25"/>
    <mergeCell ref="K14:K16"/>
    <mergeCell ref="J18:J23"/>
    <mergeCell ref="K18:K23"/>
    <mergeCell ref="J14:J16"/>
    <mergeCell ref="H31:H34"/>
    <mergeCell ref="G31:G34"/>
    <mergeCell ref="F56:F58"/>
    <mergeCell ref="C60:C62"/>
    <mergeCell ref="D47:D49"/>
    <mergeCell ref="E63:E65"/>
    <mergeCell ref="K27:K42"/>
    <mergeCell ref="J27:J42"/>
    <mergeCell ref="D35:D37"/>
    <mergeCell ref="D38:D41"/>
    <mergeCell ref="G27:G30"/>
    <mergeCell ref="G38:G41"/>
    <mergeCell ref="D31:D34"/>
    <mergeCell ref="D27:D30"/>
    <mergeCell ref="H27:H30"/>
    <mergeCell ref="H38:H41"/>
    <mergeCell ref="I27:I42"/>
    <mergeCell ref="D50:D52"/>
    <mergeCell ref="G54:G55"/>
    <mergeCell ref="F54:F55"/>
    <mergeCell ref="G50:G52"/>
    <mergeCell ref="K74:K79"/>
    <mergeCell ref="J74:J79"/>
    <mergeCell ref="C66:C67"/>
    <mergeCell ref="E66:E67"/>
    <mergeCell ref="H66:H67"/>
    <mergeCell ref="K54:K55"/>
    <mergeCell ref="J71:J73"/>
    <mergeCell ref="K71:K73"/>
    <mergeCell ref="K43:K53"/>
    <mergeCell ref="J43:J53"/>
    <mergeCell ref="K60:K62"/>
    <mergeCell ref="K68:K70"/>
    <mergeCell ref="J68:J70"/>
    <mergeCell ref="K56:K58"/>
    <mergeCell ref="J56:J58"/>
    <mergeCell ref="J60:J62"/>
    <mergeCell ref="J54:J55"/>
    <mergeCell ref="I71:I73"/>
    <mergeCell ref="I56:I58"/>
    <mergeCell ref="I60:I62"/>
    <mergeCell ref="E54:E55"/>
    <mergeCell ref="I54:I55"/>
    <mergeCell ref="H50:H52"/>
    <mergeCell ref="G74:G79"/>
  </mergeCells>
  <printOptions horizontalCentered="1" verticalCentered="1"/>
  <pageMargins left="0.3937007874015748" right="0.3937007874015748" top="0.9055118110236221" bottom="0.3937007874015748" header="0" footer="0"/>
  <pageSetup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7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:IV65536"/>
    </sheetView>
  </sheetViews>
  <sheetFormatPr defaultColWidth="0" defaultRowHeight="0" customHeight="1" zeroHeight="1"/>
  <cols>
    <col min="1" max="1" width="3.57421875" style="238" customWidth="1"/>
    <col min="2" max="2" width="3.421875" style="238" customWidth="1"/>
    <col min="3" max="3" width="37.00390625" style="238" customWidth="1"/>
    <col min="4" max="4" width="8.28125" style="238" customWidth="1"/>
    <col min="5" max="5" width="11.140625" style="238" customWidth="1"/>
    <col min="6" max="6" width="8.140625" style="238" customWidth="1"/>
    <col min="7" max="7" width="33.8515625" style="238" customWidth="1"/>
    <col min="8" max="9" width="14.57421875" style="238" customWidth="1"/>
    <col min="10" max="10" width="9.28125" style="238" customWidth="1"/>
    <col min="11" max="11" width="8.140625" style="238" customWidth="1"/>
    <col min="12" max="12" width="3.421875" style="174" customWidth="1"/>
    <col min="13" max="13" width="3.57421875" style="238" customWidth="1"/>
    <col min="14" max="14" width="3.140625" style="238" customWidth="1"/>
    <col min="15" max="16" width="0" style="238" hidden="1" customWidth="1"/>
    <col min="17" max="16384" width="11.421875" style="238" hidden="1" customWidth="1"/>
  </cols>
  <sheetData>
    <row r="1" spans="1:13" ht="21" customHeight="1" thickBo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M1" s="174"/>
    </row>
    <row r="2" spans="1:13" ht="21" customHeight="1" thickTop="1">
      <c r="A2" s="174"/>
      <c r="B2" s="175"/>
      <c r="C2" s="240"/>
      <c r="D2" s="240"/>
      <c r="E2" s="240"/>
      <c r="F2" s="240"/>
      <c r="G2" s="240"/>
      <c r="H2" s="240"/>
      <c r="I2" s="240"/>
      <c r="J2" s="240"/>
      <c r="K2" s="240"/>
      <c r="L2" s="241"/>
      <c r="M2" s="174"/>
    </row>
    <row r="3" spans="1:13" ht="21" customHeight="1" thickBot="1">
      <c r="A3" s="174"/>
      <c r="B3" s="675" t="s">
        <v>459</v>
      </c>
      <c r="C3" s="676"/>
      <c r="D3" s="676"/>
      <c r="E3" s="676"/>
      <c r="F3" s="676"/>
      <c r="G3" s="676"/>
      <c r="H3" s="676"/>
      <c r="I3" s="676"/>
      <c r="J3" s="676"/>
      <c r="K3" s="676"/>
      <c r="L3" s="677"/>
      <c r="M3" s="174"/>
    </row>
    <row r="4" spans="1:13" ht="21" customHeight="1" thickTop="1">
      <c r="A4" s="174"/>
      <c r="B4" s="176"/>
      <c r="C4" s="242"/>
      <c r="D4" s="242"/>
      <c r="E4" s="242"/>
      <c r="F4" s="242"/>
      <c r="G4" s="242"/>
      <c r="H4" s="242"/>
      <c r="I4" s="242"/>
      <c r="J4" s="242"/>
      <c r="K4" s="242"/>
      <c r="L4" s="243"/>
      <c r="M4" s="174"/>
    </row>
    <row r="5" spans="1:13" ht="12.75">
      <c r="A5" s="174"/>
      <c r="B5" s="176"/>
      <c r="C5" s="678" t="s">
        <v>493</v>
      </c>
      <c r="D5" s="678"/>
      <c r="E5" s="678"/>
      <c r="F5" s="678"/>
      <c r="G5" s="678"/>
      <c r="H5" s="678"/>
      <c r="I5" s="678"/>
      <c r="J5" s="678"/>
      <c r="K5" s="678"/>
      <c r="L5" s="244"/>
      <c r="M5" s="174"/>
    </row>
    <row r="6" spans="1:13" ht="21" customHeight="1">
      <c r="A6" s="174"/>
      <c r="B6" s="177"/>
      <c r="C6" s="679" t="s">
        <v>129</v>
      </c>
      <c r="D6" s="679" t="s">
        <v>464</v>
      </c>
      <c r="E6" s="679" t="s">
        <v>57</v>
      </c>
      <c r="F6" s="679" t="s">
        <v>106</v>
      </c>
      <c r="G6" s="679" t="s">
        <v>101</v>
      </c>
      <c r="H6" s="679" t="s">
        <v>58</v>
      </c>
      <c r="I6" s="679" t="s">
        <v>107</v>
      </c>
      <c r="J6" s="679" t="s">
        <v>59</v>
      </c>
      <c r="K6" s="679"/>
      <c r="L6" s="245"/>
      <c r="M6" s="174"/>
    </row>
    <row r="7" spans="1:13" ht="21" customHeight="1">
      <c r="A7" s="174"/>
      <c r="B7" s="176"/>
      <c r="C7" s="679"/>
      <c r="D7" s="679" t="s">
        <v>464</v>
      </c>
      <c r="E7" s="679"/>
      <c r="F7" s="679"/>
      <c r="G7" s="679"/>
      <c r="H7" s="679"/>
      <c r="I7" s="679"/>
      <c r="J7" s="430" t="s">
        <v>54</v>
      </c>
      <c r="K7" s="430" t="s">
        <v>55</v>
      </c>
      <c r="L7" s="246"/>
      <c r="M7" s="174"/>
    </row>
    <row r="8" spans="1:13" ht="36">
      <c r="A8" s="174"/>
      <c r="B8" s="176"/>
      <c r="C8" s="500" t="s">
        <v>483</v>
      </c>
      <c r="D8" s="500" t="s">
        <v>491</v>
      </c>
      <c r="E8" s="510">
        <v>5190</v>
      </c>
      <c r="F8" s="499" t="s">
        <v>484</v>
      </c>
      <c r="G8" s="502">
        <v>0.09</v>
      </c>
      <c r="H8" s="501" t="s">
        <v>149</v>
      </c>
      <c r="I8" s="500" t="s">
        <v>485</v>
      </c>
      <c r="J8" s="499">
        <v>45310</v>
      </c>
      <c r="K8" s="499" t="s">
        <v>151</v>
      </c>
      <c r="L8" s="243"/>
      <c r="M8" s="174"/>
    </row>
    <row r="9" spans="1:13" ht="36">
      <c r="A9" s="174"/>
      <c r="B9" s="176"/>
      <c r="C9" s="500" t="s">
        <v>490</v>
      </c>
      <c r="D9" s="500" t="s">
        <v>492</v>
      </c>
      <c r="E9" s="510">
        <v>1350</v>
      </c>
      <c r="F9" s="499" t="s">
        <v>242</v>
      </c>
      <c r="G9" s="502">
        <v>0.09</v>
      </c>
      <c r="H9" s="501" t="s">
        <v>166</v>
      </c>
      <c r="I9" s="500" t="s">
        <v>476</v>
      </c>
      <c r="J9" s="499">
        <v>45320</v>
      </c>
      <c r="K9" s="499" t="s">
        <v>86</v>
      </c>
      <c r="L9" s="243"/>
      <c r="M9" s="174"/>
    </row>
    <row r="10" spans="1:13" ht="12.75">
      <c r="A10" s="174"/>
      <c r="B10" s="176"/>
      <c r="C10" s="432"/>
      <c r="D10" s="247"/>
      <c r="E10" s="433"/>
      <c r="F10" s="434"/>
      <c r="G10" s="434"/>
      <c r="H10" s="434"/>
      <c r="I10" s="432"/>
      <c r="J10" s="431"/>
      <c r="K10" s="431"/>
      <c r="L10" s="243"/>
      <c r="M10" s="174"/>
    </row>
    <row r="11" spans="1:13" ht="12.75">
      <c r="A11" s="174"/>
      <c r="B11" s="176"/>
      <c r="C11" s="432"/>
      <c r="D11" s="247"/>
      <c r="E11" s="433"/>
      <c r="F11" s="434"/>
      <c r="G11" s="434"/>
      <c r="H11" s="434"/>
      <c r="I11" s="432"/>
      <c r="J11" s="431"/>
      <c r="K11" s="431"/>
      <c r="L11" s="243"/>
      <c r="M11" s="174"/>
    </row>
    <row r="12" spans="1:13" ht="12.75">
      <c r="A12" s="174"/>
      <c r="B12" s="176"/>
      <c r="C12" s="249"/>
      <c r="D12" s="247"/>
      <c r="E12" s="250"/>
      <c r="F12" s="434"/>
      <c r="G12" s="434"/>
      <c r="H12" s="434"/>
      <c r="I12" s="249"/>
      <c r="J12" s="253"/>
      <c r="K12" s="253"/>
      <c r="L12" s="243"/>
      <c r="M12" s="174"/>
    </row>
    <row r="13" spans="1:13" ht="12.75">
      <c r="A13" s="174"/>
      <c r="B13" s="176"/>
      <c r="C13" s="249"/>
      <c r="D13" s="247"/>
      <c r="E13" s="250"/>
      <c r="F13" s="434"/>
      <c r="G13" s="434"/>
      <c r="H13" s="434"/>
      <c r="I13" s="249"/>
      <c r="J13" s="253"/>
      <c r="K13" s="253"/>
      <c r="L13" s="243"/>
      <c r="M13" s="174"/>
    </row>
    <row r="14" spans="1:13" ht="12.75">
      <c r="A14" s="174"/>
      <c r="B14" s="176"/>
      <c r="C14" s="249"/>
      <c r="D14" s="247"/>
      <c r="E14" s="250"/>
      <c r="F14" s="434"/>
      <c r="G14" s="434"/>
      <c r="H14" s="434"/>
      <c r="I14" s="249"/>
      <c r="J14" s="253"/>
      <c r="K14" s="253"/>
      <c r="L14" s="243"/>
      <c r="M14" s="174"/>
    </row>
    <row r="15" spans="1:13" ht="12.75">
      <c r="A15" s="174"/>
      <c r="B15" s="176"/>
      <c r="C15" s="249"/>
      <c r="D15" s="247"/>
      <c r="E15" s="250"/>
      <c r="F15" s="434"/>
      <c r="G15" s="434"/>
      <c r="H15" s="434"/>
      <c r="I15" s="249"/>
      <c r="J15" s="253"/>
      <c r="K15" s="253"/>
      <c r="L15" s="243"/>
      <c r="M15" s="174"/>
    </row>
    <row r="16" spans="1:13" ht="12.75">
      <c r="A16" s="174"/>
      <c r="B16" s="176"/>
      <c r="C16" s="249"/>
      <c r="D16" s="247"/>
      <c r="E16" s="250"/>
      <c r="F16" s="434"/>
      <c r="G16" s="434"/>
      <c r="H16" s="434"/>
      <c r="I16" s="249"/>
      <c r="J16" s="253"/>
      <c r="K16" s="253"/>
      <c r="L16" s="243"/>
      <c r="M16" s="174"/>
    </row>
    <row r="17" spans="1:13" ht="12.75">
      <c r="A17" s="174"/>
      <c r="B17" s="176"/>
      <c r="C17" s="255"/>
      <c r="D17" s="247"/>
      <c r="E17" s="250"/>
      <c r="F17" s="434"/>
      <c r="G17" s="434"/>
      <c r="H17" s="254"/>
      <c r="I17" s="249"/>
      <c r="J17" s="253"/>
      <c r="K17" s="253"/>
      <c r="L17" s="243"/>
      <c r="M17" s="174"/>
    </row>
    <row r="18" spans="1:13" ht="12.75">
      <c r="A18" s="174"/>
      <c r="B18" s="176"/>
      <c r="C18" s="255"/>
      <c r="D18" s="247"/>
      <c r="E18" s="433"/>
      <c r="F18" s="434"/>
      <c r="G18" s="434"/>
      <c r="H18" s="434"/>
      <c r="I18" s="432"/>
      <c r="J18" s="431"/>
      <c r="K18" s="431"/>
      <c r="L18" s="243"/>
      <c r="M18" s="174"/>
    </row>
    <row r="19" spans="1:13" ht="18" customHeight="1">
      <c r="A19" s="174"/>
      <c r="B19" s="176"/>
      <c r="C19" s="249"/>
      <c r="D19" s="248"/>
      <c r="E19" s="250"/>
      <c r="F19" s="251"/>
      <c r="G19" s="252"/>
      <c r="H19" s="252"/>
      <c r="I19" s="249"/>
      <c r="J19" s="253"/>
      <c r="K19" s="253"/>
      <c r="L19" s="243"/>
      <c r="M19" s="174"/>
    </row>
    <row r="20" spans="1:13" ht="12.75">
      <c r="A20" s="174"/>
      <c r="B20" s="176"/>
      <c r="C20" s="256" t="s">
        <v>56</v>
      </c>
      <c r="D20" s="256"/>
      <c r="E20" s="257"/>
      <c r="F20" s="258"/>
      <c r="G20" s="259"/>
      <c r="H20" s="252"/>
      <c r="I20" s="249"/>
      <c r="J20" s="253"/>
      <c r="K20" s="253"/>
      <c r="L20" s="243"/>
      <c r="M20" s="174"/>
    </row>
    <row r="21" spans="1:13" ht="12.75">
      <c r="A21" s="174"/>
      <c r="B21" s="176"/>
      <c r="C21" s="256"/>
      <c r="D21" s="256"/>
      <c r="E21" s="257"/>
      <c r="F21" s="258"/>
      <c r="G21" s="259"/>
      <c r="H21" s="252"/>
      <c r="I21" s="249"/>
      <c r="J21" s="253"/>
      <c r="K21" s="253"/>
      <c r="L21" s="243"/>
      <c r="M21" s="174"/>
    </row>
    <row r="22" spans="1:13" ht="12.75">
      <c r="A22" s="174"/>
      <c r="B22" s="176"/>
      <c r="C22" s="256"/>
      <c r="D22" s="256"/>
      <c r="E22" s="257"/>
      <c r="F22" s="258"/>
      <c r="G22" s="260"/>
      <c r="H22" s="252"/>
      <c r="I22" s="249"/>
      <c r="J22" s="253"/>
      <c r="K22" s="253"/>
      <c r="L22" s="243"/>
      <c r="M22" s="174"/>
    </row>
    <row r="23" spans="1:13" ht="12.75">
      <c r="A23" s="174"/>
      <c r="B23" s="176"/>
      <c r="C23" s="256"/>
      <c r="D23" s="435"/>
      <c r="E23" s="436"/>
      <c r="F23" s="437"/>
      <c r="G23" s="438"/>
      <c r="H23" s="252"/>
      <c r="I23" s="249"/>
      <c r="J23" s="253"/>
      <c r="K23" s="253"/>
      <c r="L23" s="243"/>
      <c r="M23" s="174"/>
    </row>
    <row r="24" spans="1:13" ht="12.75">
      <c r="A24" s="174"/>
      <c r="B24" s="176"/>
      <c r="C24" s="256"/>
      <c r="D24" s="435" t="s">
        <v>466</v>
      </c>
      <c r="E24" s="436"/>
      <c r="F24" s="437"/>
      <c r="G24" s="503" t="s">
        <v>465</v>
      </c>
      <c r="H24" s="252"/>
      <c r="I24" s="249"/>
      <c r="J24" s="253"/>
      <c r="K24" s="253"/>
      <c r="L24" s="243"/>
      <c r="M24" s="174"/>
    </row>
    <row r="25" spans="1:13" ht="12.75">
      <c r="A25" s="174"/>
      <c r="B25" s="176"/>
      <c r="D25" s="435" t="s">
        <v>494</v>
      </c>
      <c r="E25" s="436"/>
      <c r="F25" s="437"/>
      <c r="G25" s="511" t="s">
        <v>495</v>
      </c>
      <c r="H25" s="434"/>
      <c r="I25" s="432"/>
      <c r="J25" s="431"/>
      <c r="K25" s="431"/>
      <c r="L25" s="243"/>
      <c r="M25" s="174"/>
    </row>
    <row r="26" spans="2:13" ht="12.75">
      <c r="B26" s="176"/>
      <c r="D26" s="248"/>
      <c r="E26" s="433"/>
      <c r="F26" s="251"/>
      <c r="G26" s="261"/>
      <c r="H26" s="434"/>
      <c r="I26" s="432"/>
      <c r="J26" s="431"/>
      <c r="K26" s="431"/>
      <c r="L26" s="263"/>
      <c r="M26" s="174"/>
    </row>
    <row r="27" spans="1:13" ht="12.75" customHeight="1">
      <c r="A27" s="174"/>
      <c r="B27" s="504" t="s">
        <v>460</v>
      </c>
      <c r="C27" s="432"/>
      <c r="D27" s="248"/>
      <c r="E27" s="433"/>
      <c r="F27" s="251"/>
      <c r="G27" s="434"/>
      <c r="H27" s="434"/>
      <c r="I27" s="432"/>
      <c r="J27" s="431"/>
      <c r="K27" s="431"/>
      <c r="L27" s="506"/>
      <c r="M27" s="174"/>
    </row>
    <row r="28" spans="1:13" ht="11.25" customHeight="1">
      <c r="A28" s="174"/>
      <c r="B28" s="507" t="s">
        <v>461</v>
      </c>
      <c r="C28" s="256"/>
      <c r="D28" s="256"/>
      <c r="E28" s="257"/>
      <c r="F28" s="258"/>
      <c r="G28" s="260"/>
      <c r="H28" s="262"/>
      <c r="I28" s="262"/>
      <c r="J28" s="242"/>
      <c r="K28" s="242"/>
      <c r="L28" s="509"/>
      <c r="M28" s="174"/>
    </row>
    <row r="29" spans="1:13" ht="21" customHeight="1" thickBot="1">
      <c r="A29" s="174"/>
      <c r="B29" s="178"/>
      <c r="C29" s="505"/>
      <c r="D29" s="505"/>
      <c r="E29" s="505"/>
      <c r="F29" s="505"/>
      <c r="G29" s="505"/>
      <c r="H29" s="505"/>
      <c r="I29" s="505"/>
      <c r="J29" s="505"/>
      <c r="K29" s="505"/>
      <c r="L29" s="264"/>
      <c r="M29" s="174"/>
    </row>
    <row r="30" spans="2:11" ht="21" customHeight="1" thickTop="1">
      <c r="B30" s="174"/>
      <c r="C30" s="508"/>
      <c r="D30" s="508"/>
      <c r="E30" s="508"/>
      <c r="F30" s="508"/>
      <c r="G30" s="508"/>
      <c r="H30" s="508"/>
      <c r="I30" s="508"/>
      <c r="J30" s="508"/>
      <c r="K30" s="508"/>
    </row>
    <row r="31" spans="3:11" ht="21" customHeight="1" thickBot="1">
      <c r="C31" s="179"/>
      <c r="D31" s="179"/>
      <c r="E31" s="179"/>
      <c r="F31" s="179"/>
      <c r="G31" s="179"/>
      <c r="H31" s="179"/>
      <c r="I31" s="179"/>
      <c r="J31" s="179"/>
      <c r="K31" s="179"/>
    </row>
    <row r="32" spans="3:11" ht="21" customHeight="1" hidden="1">
      <c r="C32" s="174"/>
      <c r="D32" s="174"/>
      <c r="E32" s="174"/>
      <c r="F32" s="174"/>
      <c r="G32" s="174"/>
      <c r="H32" s="174"/>
      <c r="I32" s="174"/>
      <c r="J32" s="174"/>
      <c r="K32" s="174"/>
    </row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>
      <c r="P45" s="238">
        <v>1.5</v>
      </c>
    </row>
    <row r="46" ht="21" customHeight="1" hidden="1">
      <c r="P46" s="238">
        <v>3</v>
      </c>
    </row>
    <row r="47" ht="21" customHeight="1" hidden="1"/>
    <row r="48" ht="21" customHeight="1" hidden="1"/>
    <row r="49" ht="21" customHeight="1" hidden="1">
      <c r="P49" s="238">
        <v>5</v>
      </c>
    </row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spans="1:13" s="174" customFormat="1" ht="21" customHeight="1" hidden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M55" s="238"/>
    </row>
    <row r="56" spans="1:13" s="174" customFormat="1" ht="21" customHeight="1" hidden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M56" s="238"/>
    </row>
    <row r="57" spans="1:13" s="174" customFormat="1" ht="21" customHeight="1" hidden="1">
      <c r="A57" s="238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M57" s="238"/>
    </row>
    <row r="58" spans="1:13" s="174" customFormat="1" ht="21" customHeight="1" hidden="1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M58" s="238"/>
    </row>
    <row r="59" spans="1:13" s="174" customFormat="1" ht="21" customHeight="1" hidden="1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M59" s="238"/>
    </row>
    <row r="60" spans="1:13" s="174" customFormat="1" ht="21" customHeight="1" hidden="1">
      <c r="A60" s="23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M60" s="238"/>
    </row>
    <row r="61" spans="1:13" s="174" customFormat="1" ht="21" customHeight="1" hidden="1">
      <c r="A61" s="238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M61" s="238"/>
    </row>
    <row r="62" spans="1:13" s="174" customFormat="1" ht="21" customHeight="1" hidden="1">
      <c r="A62" s="238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M62" s="238"/>
    </row>
    <row r="63" spans="1:13" s="174" customFormat="1" ht="21" customHeight="1" hidden="1">
      <c r="A63" s="238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M63" s="238"/>
    </row>
    <row r="64" spans="1:13" s="174" customFormat="1" ht="21" customHeight="1" hidden="1">
      <c r="A64" s="238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M64" s="238"/>
    </row>
    <row r="65" spans="1:13" s="174" customFormat="1" ht="21" customHeight="1" hidden="1">
      <c r="A65" s="238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M65" s="238"/>
    </row>
    <row r="66" spans="1:13" s="174" customFormat="1" ht="21" customHeight="1" hidden="1">
      <c r="A66" s="238"/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M66" s="238"/>
    </row>
    <row r="67" spans="1:13" s="174" customFormat="1" ht="21" customHeight="1" hidden="1">
      <c r="A67" s="238"/>
      <c r="B67" s="238"/>
      <c r="C67" s="238"/>
      <c r="D67" s="238"/>
      <c r="E67" s="238"/>
      <c r="F67" s="238"/>
      <c r="G67" s="238"/>
      <c r="H67" s="238"/>
      <c r="I67" s="238"/>
      <c r="J67" s="238"/>
      <c r="K67" s="238"/>
      <c r="M67" s="238"/>
    </row>
    <row r="68" spans="1:13" s="174" customFormat="1" ht="21" customHeight="1" hidden="1">
      <c r="A68" s="238"/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M68" s="238"/>
    </row>
    <row r="69" spans="1:13" s="174" customFormat="1" ht="21" customHeight="1" hidden="1">
      <c r="A69" s="238"/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M69" s="238"/>
    </row>
    <row r="70" spans="1:13" s="174" customFormat="1" ht="21" customHeight="1" hidden="1">
      <c r="A70" s="238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M70" s="238"/>
    </row>
    <row r="71" spans="1:13" s="174" customFormat="1" ht="21" customHeight="1" hidden="1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M71" s="238"/>
    </row>
    <row r="72" spans="1:13" s="174" customFormat="1" ht="21" customHeight="1" hidden="1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M72" s="238"/>
    </row>
    <row r="73" spans="1:13" s="174" customFormat="1" ht="21" customHeight="1" hidden="1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M73" s="238"/>
    </row>
    <row r="74" spans="1:13" s="174" customFormat="1" ht="21" customHeight="1" hidden="1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M74" s="238"/>
    </row>
    <row r="75" spans="1:13" s="174" customFormat="1" ht="21" customHeight="1" hidden="1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M75" s="238"/>
    </row>
    <row r="76" spans="1:13" s="174" customFormat="1" ht="21" customHeight="1" hidden="1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M76" s="238"/>
    </row>
    <row r="77" spans="1:13" s="174" customFormat="1" ht="21" customHeight="1" hidden="1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M77" s="238"/>
    </row>
    <row r="78" ht="21" customHeight="1" thickTop="1"/>
  </sheetData>
  <sheetProtection/>
  <mergeCells count="10">
    <mergeCell ref="B3:L3"/>
    <mergeCell ref="C5:K5"/>
    <mergeCell ref="C6:C7"/>
    <mergeCell ref="D6:D7"/>
    <mergeCell ref="E6:E7"/>
    <mergeCell ref="F6:F7"/>
    <mergeCell ref="G6:G7"/>
    <mergeCell ref="H6:H7"/>
    <mergeCell ref="I6:I7"/>
    <mergeCell ref="J6:K6"/>
  </mergeCells>
  <hyperlinks>
    <hyperlink ref="G25" r:id="rId1" display="ivanovacorrea@bolsadequito.com"/>
    <hyperlink ref="G24" r:id="rId2" display="sebastianjacome@bolsadequito.com"/>
  </hyperlinks>
  <printOptions horizontalCentered="1" verticalCentered="1"/>
  <pageMargins left="0.3937007874015748" right="0.3937007874015748" top="0.9055118110236221" bottom="0.3937007874015748" header="0" footer="0"/>
  <pageSetup horizontalDpi="600" verticalDpi="600" orientation="portrait" paperSize="9" scale="4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 de Quito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pripalda</dc:creator>
  <cp:keywords/>
  <dc:description/>
  <cp:lastModifiedBy>Sebastian Jacome</cp:lastModifiedBy>
  <cp:lastPrinted>2013-05-06T19:43:23Z</cp:lastPrinted>
  <dcterms:created xsi:type="dcterms:W3CDTF">2007-02-15T20:24:52Z</dcterms:created>
  <dcterms:modified xsi:type="dcterms:W3CDTF">2024-04-12T17:00:26Z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